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Višnja\2025\IV REBALANS\"/>
    </mc:Choice>
  </mc:AlternateContent>
  <xr:revisionPtr revIDLastSave="0" documentId="13_ncr:1_{6D4608A3-B213-4C24-84B2-3A0E9A3E107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SEBNI DIO" sheetId="3" state="hidden" r:id="rId1"/>
    <sheet name="Opći dio" sheetId="1" r:id="rId2"/>
    <sheet name="Posebni" sheetId="4" r:id="rId3"/>
  </sheets>
  <definedNames>
    <definedName name="BROJ_KONTA">'Opći dio'!$H$35</definedName>
    <definedName name="INDEKS_2006_2005">'Opći dio'!#REF!</definedName>
    <definedName name="_xlnm.Print_Titles" localSheetId="1">'Opći dio'!$34:$35</definedName>
    <definedName name="_xlnm.Print_Titles" localSheetId="2">Posebni!$5:$6</definedName>
    <definedName name="Ostv_2004.">'Opći dio'!$J$35</definedName>
    <definedName name="Plan_2005">'Opći dio'!$K$35</definedName>
    <definedName name="_xlnm.Print_Area" localSheetId="1">'Opći dio'!$A$1:$R$234</definedName>
    <definedName name="_xlnm.Print_Area" localSheetId="2">Posebni!$A$1:$L$644</definedName>
    <definedName name="_xlnm.Print_Area" localSheetId="0">'POSEBNI DIO'!$A$1:$J$499</definedName>
    <definedName name="Pozicija">#REF!</definedName>
    <definedName name="Procj_2005">'Opći dio'!$L$35</definedName>
    <definedName name="VRSTA_PRIHODA_IZDATAKA">'Opći dio'!$I$35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1" i="4" l="1"/>
  <c r="P125" i="1"/>
  <c r="O125" i="1"/>
  <c r="I481" i="4"/>
  <c r="I480" i="4" s="1"/>
  <c r="J481" i="4"/>
  <c r="H481" i="4"/>
  <c r="H480" i="4" s="1"/>
  <c r="J483" i="4"/>
  <c r="L483" i="4" s="1"/>
  <c r="J482" i="4"/>
  <c r="L482" i="4" s="1"/>
  <c r="G480" i="4"/>
  <c r="P123" i="1"/>
  <c r="O123" i="1"/>
  <c r="H190" i="4"/>
  <c r="I190" i="4"/>
  <c r="J192" i="4"/>
  <c r="K192" i="4" s="1"/>
  <c r="G192" i="4"/>
  <c r="P133" i="1"/>
  <c r="O133" i="1"/>
  <c r="P127" i="1"/>
  <c r="O127" i="1"/>
  <c r="P122" i="1"/>
  <c r="O122" i="1"/>
  <c r="O115" i="1"/>
  <c r="I639" i="4"/>
  <c r="H639" i="4"/>
  <c r="J480" i="4" l="1"/>
  <c r="L480" i="4"/>
  <c r="K480" i="4"/>
  <c r="L481" i="4"/>
  <c r="L192" i="4"/>
  <c r="E631" i="4"/>
  <c r="J640" i="4"/>
  <c r="G640" i="4"/>
  <c r="G639" i="4" s="1"/>
  <c r="F639" i="4"/>
  <c r="J638" i="4"/>
  <c r="L638" i="4" s="1"/>
  <c r="G638" i="4"/>
  <c r="J637" i="4"/>
  <c r="L637" i="4" s="1"/>
  <c r="G637" i="4"/>
  <c r="I636" i="4"/>
  <c r="H636" i="4"/>
  <c r="F636" i="4"/>
  <c r="I403" i="4"/>
  <c r="H403" i="4"/>
  <c r="P178" i="1"/>
  <c r="O178" i="1"/>
  <c r="J410" i="4"/>
  <c r="K410" i="4" s="1"/>
  <c r="G410" i="4"/>
  <c r="J406" i="4"/>
  <c r="L406" i="4" s="1"/>
  <c r="P179" i="1"/>
  <c r="I532" i="4"/>
  <c r="H532" i="4"/>
  <c r="J535" i="4"/>
  <c r="L535" i="4" s="1"/>
  <c r="I527" i="4"/>
  <c r="H527" i="4"/>
  <c r="J530" i="4"/>
  <c r="L530" i="4" s="1"/>
  <c r="I522" i="4"/>
  <c r="H522" i="4"/>
  <c r="J525" i="4"/>
  <c r="L525" i="4" s="1"/>
  <c r="I518" i="4"/>
  <c r="H518" i="4"/>
  <c r="J520" i="4"/>
  <c r="L520" i="4" s="1"/>
  <c r="F635" i="4" l="1"/>
  <c r="F634" i="4" s="1"/>
  <c r="F631" i="4" s="1"/>
  <c r="K640" i="4"/>
  <c r="K639" i="4" s="1"/>
  <c r="J639" i="4"/>
  <c r="L639" i="4" s="1"/>
  <c r="H635" i="4"/>
  <c r="H634" i="4" s="1"/>
  <c r="H631" i="4" s="1"/>
  <c r="G636" i="4"/>
  <c r="G635" i="4" s="1"/>
  <c r="G634" i="4" s="1"/>
  <c r="G631" i="4" s="1"/>
  <c r="J636" i="4"/>
  <c r="L636" i="4" s="1"/>
  <c r="I635" i="4"/>
  <c r="I634" i="4" s="1"/>
  <c r="I631" i="4" s="1"/>
  <c r="L640" i="4"/>
  <c r="K637" i="4"/>
  <c r="K638" i="4"/>
  <c r="L410" i="4"/>
  <c r="J635" i="4" l="1"/>
  <c r="L635" i="4" s="1"/>
  <c r="K636" i="4"/>
  <c r="K635" i="4" s="1"/>
  <c r="K634" i="4" s="1"/>
  <c r="K631" i="4" s="1"/>
  <c r="J634" i="4" l="1"/>
  <c r="L632" i="4" s="1"/>
  <c r="J631" i="4" l="1"/>
  <c r="L631" i="4" s="1"/>
  <c r="J600" i="4" l="1"/>
  <c r="I598" i="4"/>
  <c r="G509" i="4" l="1"/>
  <c r="H509" i="4" s="1"/>
  <c r="I508" i="4"/>
  <c r="I507" i="4" s="1"/>
  <c r="I506" i="4" s="1"/>
  <c r="F508" i="4"/>
  <c r="F507" i="4" s="1"/>
  <c r="F506" i="4" s="1"/>
  <c r="J478" i="4"/>
  <c r="I113" i="4"/>
  <c r="I16" i="4"/>
  <c r="H508" i="4" l="1"/>
  <c r="H507" i="4" s="1"/>
  <c r="H506" i="4" s="1"/>
  <c r="J509" i="4"/>
  <c r="G508" i="4"/>
  <c r="G507" i="4" s="1"/>
  <c r="G506" i="4" s="1"/>
  <c r="H36" i="4"/>
  <c r="I36" i="4"/>
  <c r="K509" i="4" l="1"/>
  <c r="K508" i="4" s="1"/>
  <c r="K507" i="4" s="1"/>
  <c r="K506" i="4" s="1"/>
  <c r="J508" i="4"/>
  <c r="L509" i="4"/>
  <c r="H327" i="4"/>
  <c r="H90" i="4"/>
  <c r="I90" i="4"/>
  <c r="P96" i="1"/>
  <c r="L508" i="4" l="1"/>
  <c r="J507" i="4"/>
  <c r="I268" i="4"/>
  <c r="O218" i="1"/>
  <c r="Q97" i="1"/>
  <c r="Q96" i="1" s="1"/>
  <c r="O96" i="1"/>
  <c r="Q29" i="1"/>
  <c r="I557" i="4"/>
  <c r="J558" i="4"/>
  <c r="L558" i="4" s="1"/>
  <c r="J564" i="4"/>
  <c r="K564" i="4" s="1"/>
  <c r="K563" i="4" s="1"/>
  <c r="K562" i="4" s="1"/>
  <c r="K561" i="4" s="1"/>
  <c r="G564" i="4"/>
  <c r="G563" i="4" s="1"/>
  <c r="G562" i="4" s="1"/>
  <c r="G561" i="4" s="1"/>
  <c r="I563" i="4"/>
  <c r="I562" i="4" s="1"/>
  <c r="I561" i="4" s="1"/>
  <c r="H563" i="4"/>
  <c r="H562" i="4" s="1"/>
  <c r="H561" i="4" s="1"/>
  <c r="F563" i="4"/>
  <c r="F562" i="4" s="1"/>
  <c r="F561" i="4" s="1"/>
  <c r="I432" i="4"/>
  <c r="H432" i="4"/>
  <c r="J439" i="4"/>
  <c r="L439" i="4" s="1"/>
  <c r="I438" i="4"/>
  <c r="I437" i="4" s="1"/>
  <c r="I436" i="4" s="1"/>
  <c r="H438" i="4"/>
  <c r="H437" i="4" s="1"/>
  <c r="H436" i="4" s="1"/>
  <c r="K437" i="4"/>
  <c r="K436" i="4" s="1"/>
  <c r="G437" i="4"/>
  <c r="G436" i="4" s="1"/>
  <c r="F437" i="4"/>
  <c r="F436" i="4" s="1"/>
  <c r="J433" i="4"/>
  <c r="L433" i="4" s="1"/>
  <c r="J506" i="4" l="1"/>
  <c r="L506" i="4" s="1"/>
  <c r="L507" i="4"/>
  <c r="J557" i="4"/>
  <c r="L564" i="4"/>
  <c r="J563" i="4"/>
  <c r="J562" i="4" s="1"/>
  <c r="J561" i="4" s="1"/>
  <c r="J432" i="4"/>
  <c r="J438" i="4"/>
  <c r="J437" i="4" s="1"/>
  <c r="J436" i="4" s="1"/>
  <c r="L434" i="4" s="1"/>
  <c r="O174" i="1"/>
  <c r="P174" i="1"/>
  <c r="J446" i="4"/>
  <c r="L446" i="4" s="1"/>
  <c r="G446" i="4"/>
  <c r="G445" i="4" s="1"/>
  <c r="G444" i="4" s="1"/>
  <c r="G443" i="4" s="1"/>
  <c r="I445" i="4"/>
  <c r="I444" i="4" s="1"/>
  <c r="I443" i="4" s="1"/>
  <c r="H445" i="4"/>
  <c r="H444" i="4" s="1"/>
  <c r="H443" i="4" s="1"/>
  <c r="F445" i="4"/>
  <c r="F444" i="4" s="1"/>
  <c r="F443" i="4" s="1"/>
  <c r="L562" i="4" l="1"/>
  <c r="L559" i="4"/>
  <c r="L563" i="4"/>
  <c r="L437" i="4"/>
  <c r="L438" i="4"/>
  <c r="J445" i="4"/>
  <c r="L445" i="4" s="1"/>
  <c r="K446" i="4"/>
  <c r="K445" i="4" s="1"/>
  <c r="K444" i="4" s="1"/>
  <c r="K443" i="4" s="1"/>
  <c r="J444" i="4" l="1"/>
  <c r="L444" i="4" s="1"/>
  <c r="J443" i="4" l="1"/>
  <c r="L441" i="4" s="1"/>
  <c r="H531" i="4"/>
  <c r="J405" i="4"/>
  <c r="L405" i="4" s="1"/>
  <c r="I531" i="4"/>
  <c r="I526" i="4"/>
  <c r="H526" i="4"/>
  <c r="I521" i="4"/>
  <c r="K521" i="4"/>
  <c r="H521" i="4"/>
  <c r="I515" i="4"/>
  <c r="J528" i="4" l="1"/>
  <c r="J529" i="4"/>
  <c r="L529" i="4" s="1"/>
  <c r="J533" i="4"/>
  <c r="J534" i="4"/>
  <c r="L534" i="4" s="1"/>
  <c r="J524" i="4"/>
  <c r="J523" i="4"/>
  <c r="R96" i="1"/>
  <c r="R79" i="1"/>
  <c r="R53" i="1"/>
  <c r="R29" i="1"/>
  <c r="Q28" i="1"/>
  <c r="R28" i="1" s="1"/>
  <c r="P58" i="1"/>
  <c r="Q219" i="1"/>
  <c r="Q200" i="1"/>
  <c r="Q177" i="1"/>
  <c r="R177" i="1" s="1"/>
  <c r="Q168" i="1"/>
  <c r="R168" i="1" s="1"/>
  <c r="Q166" i="1"/>
  <c r="R166" i="1" s="1"/>
  <c r="Q165" i="1"/>
  <c r="R165" i="1" s="1"/>
  <c r="Q139" i="1"/>
  <c r="R139" i="1" s="1"/>
  <c r="Q106" i="1"/>
  <c r="R106" i="1" s="1"/>
  <c r="Q93" i="1"/>
  <c r="R93" i="1" s="1"/>
  <c r="Q90" i="1"/>
  <c r="R90" i="1" s="1"/>
  <c r="Q86" i="1"/>
  <c r="R86" i="1" s="1"/>
  <c r="Q87" i="1"/>
  <c r="R87" i="1" s="1"/>
  <c r="Q85" i="1"/>
  <c r="R85" i="1" s="1"/>
  <c r="Q82" i="1"/>
  <c r="R82" i="1" s="1"/>
  <c r="Q83" i="1"/>
  <c r="R83" i="1" s="1"/>
  <c r="Q81" i="1"/>
  <c r="R81" i="1" s="1"/>
  <c r="Q78" i="1"/>
  <c r="R78" i="1" s="1"/>
  <c r="Q79" i="1"/>
  <c r="Q77" i="1"/>
  <c r="R77" i="1" s="1"/>
  <c r="Q70" i="1"/>
  <c r="R70" i="1" s="1"/>
  <c r="Q71" i="1"/>
  <c r="R71" i="1" s="1"/>
  <c r="Q72" i="1"/>
  <c r="R72" i="1" s="1"/>
  <c r="Q73" i="1"/>
  <c r="R73" i="1" s="1"/>
  <c r="Q74" i="1"/>
  <c r="R74" i="1" s="1"/>
  <c r="Q69" i="1"/>
  <c r="R69" i="1" s="1"/>
  <c r="Q67" i="1"/>
  <c r="R67" i="1" s="1"/>
  <c r="Q66" i="1"/>
  <c r="R66" i="1" s="1"/>
  <c r="Q63" i="1"/>
  <c r="R63" i="1" s="1"/>
  <c r="Q62" i="1"/>
  <c r="R62" i="1" s="1"/>
  <c r="Q60" i="1"/>
  <c r="R60" i="1" s="1"/>
  <c r="Q59" i="1"/>
  <c r="R59" i="1" s="1"/>
  <c r="Q57" i="1"/>
  <c r="R57" i="1" s="1"/>
  <c r="Q56" i="1"/>
  <c r="R56" i="1" s="1"/>
  <c r="Q53" i="1"/>
  <c r="Q52" i="1"/>
  <c r="R52" i="1" s="1"/>
  <c r="Q50" i="1"/>
  <c r="R50" i="1" s="1"/>
  <c r="Q49" i="1"/>
  <c r="R49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1" i="1"/>
  <c r="R41" i="1" s="1"/>
  <c r="H598" i="4"/>
  <c r="J630" i="4"/>
  <c r="L630" i="4" s="1"/>
  <c r="J628" i="4"/>
  <c r="L628" i="4" s="1"/>
  <c r="J627" i="4"/>
  <c r="J624" i="4"/>
  <c r="L624" i="4" s="1"/>
  <c r="J623" i="4"/>
  <c r="L623" i="4" s="1"/>
  <c r="J621" i="4"/>
  <c r="J620" i="4" s="1"/>
  <c r="J619" i="4"/>
  <c r="J618" i="4"/>
  <c r="L618" i="4" s="1"/>
  <c r="J611" i="4"/>
  <c r="L611" i="4" s="1"/>
  <c r="J607" i="4"/>
  <c r="L607" i="4" s="1"/>
  <c r="J608" i="4"/>
  <c r="J609" i="4"/>
  <c r="L609" i="4" s="1"/>
  <c r="J606" i="4"/>
  <c r="L606" i="4" s="1"/>
  <c r="L600" i="4"/>
  <c r="J599" i="4"/>
  <c r="J597" i="4"/>
  <c r="L597" i="4" s="1"/>
  <c r="J596" i="4"/>
  <c r="L596" i="4" s="1"/>
  <c r="J593" i="4"/>
  <c r="L593" i="4" s="1"/>
  <c r="J592" i="4"/>
  <c r="J590" i="4"/>
  <c r="L590" i="4" s="1"/>
  <c r="J589" i="4"/>
  <c r="L589" i="4" s="1"/>
  <c r="J587" i="4"/>
  <c r="L587" i="4" s="1"/>
  <c r="J586" i="4"/>
  <c r="J579" i="4"/>
  <c r="L579" i="4" s="1"/>
  <c r="J578" i="4"/>
  <c r="L578" i="4" s="1"/>
  <c r="J572" i="4"/>
  <c r="L572" i="4" s="1"/>
  <c r="J571" i="4"/>
  <c r="J556" i="4"/>
  <c r="L556" i="4" s="1"/>
  <c r="I548" i="4"/>
  <c r="I547" i="4" s="1"/>
  <c r="I546" i="4" s="1"/>
  <c r="J550" i="4"/>
  <c r="L550" i="4" s="1"/>
  <c r="J549" i="4"/>
  <c r="J543" i="4"/>
  <c r="L543" i="4" s="1"/>
  <c r="J541" i="4"/>
  <c r="J519" i="4"/>
  <c r="J517" i="4"/>
  <c r="J516" i="4"/>
  <c r="L516" i="4" s="1"/>
  <c r="J497" i="4"/>
  <c r="L497" i="4" s="1"/>
  <c r="I488" i="4"/>
  <c r="I487" i="4" s="1"/>
  <c r="J490" i="4"/>
  <c r="K490" i="4" s="1"/>
  <c r="J489" i="4"/>
  <c r="K489" i="4" s="1"/>
  <c r="K488" i="4" s="1"/>
  <c r="K487" i="4" s="1"/>
  <c r="K486" i="4" s="1"/>
  <c r="J479" i="4"/>
  <c r="L479" i="4" s="1"/>
  <c r="L478" i="4"/>
  <c r="J472" i="4"/>
  <c r="L472" i="4" s="1"/>
  <c r="J466" i="4"/>
  <c r="J454" i="4"/>
  <c r="L454" i="4" s="1"/>
  <c r="J452" i="4"/>
  <c r="L452" i="4" s="1"/>
  <c r="J431" i="4"/>
  <c r="J425" i="4"/>
  <c r="L425" i="4" s="1"/>
  <c r="J423" i="4"/>
  <c r="L423" i="4" s="1"/>
  <c r="J417" i="4"/>
  <c r="L417" i="4" s="1"/>
  <c r="J416" i="4"/>
  <c r="J407" i="4"/>
  <c r="L407" i="4" s="1"/>
  <c r="J408" i="4"/>
  <c r="L408" i="4" s="1"/>
  <c r="J409" i="4"/>
  <c r="L409" i="4" s="1"/>
  <c r="J404" i="4"/>
  <c r="J398" i="4"/>
  <c r="J392" i="4"/>
  <c r="L392" i="4" s="1"/>
  <c r="I384" i="4"/>
  <c r="J385" i="4"/>
  <c r="J383" i="4"/>
  <c r="L383" i="4" s="1"/>
  <c r="I369" i="4"/>
  <c r="I368" i="4" s="1"/>
  <c r="J370" i="4"/>
  <c r="L370" i="4" s="1"/>
  <c r="J367" i="4"/>
  <c r="L367" i="4" s="1"/>
  <c r="J366" i="4"/>
  <c r="L366" i="4" s="1"/>
  <c r="J360" i="4"/>
  <c r="L360" i="4" s="1"/>
  <c r="J358" i="4"/>
  <c r="L358" i="4" s="1"/>
  <c r="J352" i="4"/>
  <c r="K352" i="4" s="1"/>
  <c r="K351" i="4" s="1"/>
  <c r="K350" i="4" s="1"/>
  <c r="K349" i="4" s="1"/>
  <c r="J346" i="4"/>
  <c r="J345" i="4" s="1"/>
  <c r="J340" i="4"/>
  <c r="J339" i="4" s="1"/>
  <c r="J334" i="4"/>
  <c r="L334" i="4" s="1"/>
  <c r="J328" i="4"/>
  <c r="J327" i="4" s="1"/>
  <c r="J322" i="4"/>
  <c r="L322" i="4" s="1"/>
  <c r="J313" i="4"/>
  <c r="L313" i="4" s="1"/>
  <c r="J312" i="4"/>
  <c r="L312" i="4" s="1"/>
  <c r="J306" i="4"/>
  <c r="L306" i="4" s="1"/>
  <c r="J304" i="4"/>
  <c r="L304" i="4" s="1"/>
  <c r="J297" i="4"/>
  <c r="L297" i="4" s="1"/>
  <c r="J291" i="4"/>
  <c r="K291" i="4" s="1"/>
  <c r="K290" i="4" s="1"/>
  <c r="K289" i="4" s="1"/>
  <c r="K288" i="4" s="1"/>
  <c r="J284" i="4"/>
  <c r="L284" i="4" s="1"/>
  <c r="J278" i="4"/>
  <c r="L278" i="4" s="1"/>
  <c r="J271" i="4"/>
  <c r="J270" i="4" s="1"/>
  <c r="J269" i="4"/>
  <c r="J268" i="4" s="1"/>
  <c r="J262" i="4"/>
  <c r="J261" i="4"/>
  <c r="L261" i="4" s="1"/>
  <c r="J259" i="4"/>
  <c r="K259" i="4" s="1"/>
  <c r="J258" i="4"/>
  <c r="J252" i="4"/>
  <c r="K252" i="4" s="1"/>
  <c r="K251" i="4" s="1"/>
  <c r="K250" i="4" s="1"/>
  <c r="K249" i="4" s="1"/>
  <c r="J245" i="4"/>
  <c r="L245" i="4" s="1"/>
  <c r="J238" i="4"/>
  <c r="J237" i="4"/>
  <c r="J230" i="4"/>
  <c r="L230" i="4" s="1"/>
  <c r="J224" i="4"/>
  <c r="L224" i="4" s="1"/>
  <c r="J218" i="4"/>
  <c r="K218" i="4" s="1"/>
  <c r="K217" i="4" s="1"/>
  <c r="K216" i="4" s="1"/>
  <c r="K215" i="4" s="1"/>
  <c r="J212" i="4"/>
  <c r="J205" i="4"/>
  <c r="L205" i="4" s="1"/>
  <c r="J199" i="4"/>
  <c r="K199" i="4" s="1"/>
  <c r="K198" i="4" s="1"/>
  <c r="K197" i="4" s="1"/>
  <c r="K196" i="4" s="1"/>
  <c r="J191" i="4"/>
  <c r="J190" i="4" s="1"/>
  <c r="J184" i="4"/>
  <c r="J178" i="4"/>
  <c r="L178" i="4" s="1"/>
  <c r="J166" i="4"/>
  <c r="L166" i="4" s="1"/>
  <c r="J167" i="4"/>
  <c r="L167" i="4" s="1"/>
  <c r="J168" i="4"/>
  <c r="J169" i="4"/>
  <c r="K169" i="4" s="1"/>
  <c r="J170" i="4"/>
  <c r="L170" i="4" s="1"/>
  <c r="J171" i="4"/>
  <c r="L171" i="4" s="1"/>
  <c r="J172" i="4"/>
  <c r="J165" i="4"/>
  <c r="L165" i="4" s="1"/>
  <c r="J158" i="4"/>
  <c r="L158" i="4" s="1"/>
  <c r="J159" i="4"/>
  <c r="L159" i="4" s="1"/>
  <c r="J157" i="4"/>
  <c r="J149" i="4"/>
  <c r="L149" i="4" s="1"/>
  <c r="J142" i="4"/>
  <c r="L142" i="4" s="1"/>
  <c r="J135" i="4"/>
  <c r="L135" i="4" s="1"/>
  <c r="J134" i="4"/>
  <c r="L134" i="4" s="1"/>
  <c r="J127" i="4"/>
  <c r="K127" i="4" s="1"/>
  <c r="K126" i="4" s="1"/>
  <c r="K125" i="4" s="1"/>
  <c r="K124" i="4" s="1"/>
  <c r="K121" i="4" s="1"/>
  <c r="J120" i="4"/>
  <c r="L120" i="4" s="1"/>
  <c r="J114" i="4"/>
  <c r="L114" i="4" s="1"/>
  <c r="J107" i="4"/>
  <c r="J104" i="4"/>
  <c r="L104" i="4" s="1"/>
  <c r="J102" i="4"/>
  <c r="L102" i="4" s="1"/>
  <c r="I99" i="4"/>
  <c r="J100" i="4"/>
  <c r="L100" i="4" s="1"/>
  <c r="J92" i="4"/>
  <c r="L92" i="4" s="1"/>
  <c r="J93" i="4"/>
  <c r="L93" i="4" s="1"/>
  <c r="J91" i="4"/>
  <c r="J84" i="4"/>
  <c r="K84" i="4" s="1"/>
  <c r="K83" i="4" s="1"/>
  <c r="K82" i="4" s="1"/>
  <c r="K81" i="4" s="1"/>
  <c r="J78" i="4"/>
  <c r="L78" i="4" s="1"/>
  <c r="J72" i="4"/>
  <c r="L72" i="4" s="1"/>
  <c r="J63" i="4"/>
  <c r="J64" i="4"/>
  <c r="L64" i="4" s="1"/>
  <c r="J65" i="4"/>
  <c r="L65" i="4" s="1"/>
  <c r="J66" i="4"/>
  <c r="K66" i="4" s="1"/>
  <c r="J62" i="4"/>
  <c r="K62" i="4" s="1"/>
  <c r="J55" i="4"/>
  <c r="L55" i="4" s="1"/>
  <c r="J56" i="4"/>
  <c r="L56" i="4" s="1"/>
  <c r="J54" i="4"/>
  <c r="K54" i="4" s="1"/>
  <c r="J49" i="4"/>
  <c r="J50" i="4"/>
  <c r="L50" i="4" s="1"/>
  <c r="J51" i="4"/>
  <c r="K51" i="4" s="1"/>
  <c r="J48" i="4"/>
  <c r="L48" i="4" s="1"/>
  <c r="J46" i="4"/>
  <c r="J38" i="4"/>
  <c r="L38" i="4" s="1"/>
  <c r="J39" i="4"/>
  <c r="J40" i="4"/>
  <c r="J41" i="4"/>
  <c r="L41" i="4" s="1"/>
  <c r="J42" i="4"/>
  <c r="Q125" i="1" s="1"/>
  <c r="J43" i="4"/>
  <c r="K43" i="4" s="1"/>
  <c r="J44" i="4"/>
  <c r="J37" i="4"/>
  <c r="K37" i="4" s="1"/>
  <c r="J32" i="4"/>
  <c r="K32" i="4" s="1"/>
  <c r="J33" i="4"/>
  <c r="L33" i="4" s="1"/>
  <c r="J34" i="4"/>
  <c r="L34" i="4" s="1"/>
  <c r="J35" i="4"/>
  <c r="L35" i="4" s="1"/>
  <c r="J31" i="4"/>
  <c r="L31" i="4" s="1"/>
  <c r="J23" i="4"/>
  <c r="L23" i="4" s="1"/>
  <c r="J24" i="4"/>
  <c r="L24" i="4" s="1"/>
  <c r="J25" i="4"/>
  <c r="J22" i="4"/>
  <c r="K22" i="4" s="1"/>
  <c r="J19" i="4"/>
  <c r="K19" i="4" s="1"/>
  <c r="K18" i="4" s="1"/>
  <c r="J17" i="4"/>
  <c r="L17" i="4" s="1"/>
  <c r="J15" i="4"/>
  <c r="I101" i="4"/>
  <c r="E7" i="4"/>
  <c r="E13" i="4"/>
  <c r="E12" i="4" s="1"/>
  <c r="F14" i="4"/>
  <c r="H14" i="4"/>
  <c r="I14" i="4"/>
  <c r="G15" i="4"/>
  <c r="G14" i="4" s="1"/>
  <c r="F16" i="4"/>
  <c r="H16" i="4"/>
  <c r="G17" i="4"/>
  <c r="G16" i="4" s="1"/>
  <c r="F18" i="4"/>
  <c r="H18" i="4"/>
  <c r="I18" i="4"/>
  <c r="G19" i="4"/>
  <c r="G18" i="4" s="1"/>
  <c r="E21" i="4"/>
  <c r="F21" i="4"/>
  <c r="F20" i="4" s="1"/>
  <c r="H21" i="4"/>
  <c r="I21" i="4"/>
  <c r="I20" i="4" s="1"/>
  <c r="G22" i="4"/>
  <c r="G23" i="4"/>
  <c r="G24" i="4"/>
  <c r="G25" i="4"/>
  <c r="E30" i="4"/>
  <c r="F30" i="4"/>
  <c r="H30" i="4"/>
  <c r="I30" i="4"/>
  <c r="G31" i="4"/>
  <c r="G32" i="4"/>
  <c r="G33" i="4"/>
  <c r="G34" i="4"/>
  <c r="E36" i="4"/>
  <c r="F36" i="4"/>
  <c r="G37" i="4"/>
  <c r="G38" i="4"/>
  <c r="G39" i="4"/>
  <c r="G40" i="4"/>
  <c r="G41" i="4"/>
  <c r="G42" i="4"/>
  <c r="G43" i="4"/>
  <c r="G44" i="4"/>
  <c r="F45" i="4"/>
  <c r="H45" i="4"/>
  <c r="I45" i="4"/>
  <c r="G46" i="4"/>
  <c r="G45" i="4" s="1"/>
  <c r="E47" i="4"/>
  <c r="F47" i="4"/>
  <c r="H47" i="4"/>
  <c r="I47" i="4"/>
  <c r="G48" i="4"/>
  <c r="G49" i="4"/>
  <c r="G50" i="4"/>
  <c r="G51" i="4"/>
  <c r="E53" i="4"/>
  <c r="F53" i="4"/>
  <c r="F52" i="4" s="1"/>
  <c r="H53" i="4"/>
  <c r="H52" i="4" s="1"/>
  <c r="I53" i="4"/>
  <c r="G54" i="4"/>
  <c r="G55" i="4"/>
  <c r="G56" i="4"/>
  <c r="E61" i="4"/>
  <c r="F61" i="4"/>
  <c r="F60" i="4" s="1"/>
  <c r="F59" i="4" s="1"/>
  <c r="H61" i="4"/>
  <c r="I61" i="4"/>
  <c r="I60" i="4" s="1"/>
  <c r="G62" i="4"/>
  <c r="G63" i="4"/>
  <c r="G64" i="4"/>
  <c r="G65" i="4"/>
  <c r="G66" i="4"/>
  <c r="F71" i="4"/>
  <c r="F70" i="4" s="1"/>
  <c r="F69" i="4" s="1"/>
  <c r="H71" i="4"/>
  <c r="H70" i="4" s="1"/>
  <c r="H69" i="4" s="1"/>
  <c r="I71" i="4"/>
  <c r="I70" i="4" s="1"/>
  <c r="G72" i="4"/>
  <c r="G71" i="4" s="1"/>
  <c r="G70" i="4" s="1"/>
  <c r="G69" i="4" s="1"/>
  <c r="F77" i="4"/>
  <c r="F76" i="4" s="1"/>
  <c r="F75" i="4" s="1"/>
  <c r="H77" i="4"/>
  <c r="H76" i="4" s="1"/>
  <c r="H75" i="4" s="1"/>
  <c r="I77" i="4"/>
  <c r="G78" i="4"/>
  <c r="G77" i="4" s="1"/>
  <c r="G76" i="4" s="1"/>
  <c r="G75" i="4" s="1"/>
  <c r="F83" i="4"/>
  <c r="F82" i="4" s="1"/>
  <c r="F81" i="4" s="1"/>
  <c r="H83" i="4"/>
  <c r="H82" i="4" s="1"/>
  <c r="H81" i="4" s="1"/>
  <c r="I83" i="4"/>
  <c r="I82" i="4" s="1"/>
  <c r="G84" i="4"/>
  <c r="G83" i="4" s="1"/>
  <c r="G82" i="4" s="1"/>
  <c r="G81" i="4" s="1"/>
  <c r="E90" i="4"/>
  <c r="F90" i="4"/>
  <c r="F89" i="4" s="1"/>
  <c r="F88" i="4" s="1"/>
  <c r="F85" i="4" s="1"/>
  <c r="H89" i="4"/>
  <c r="H88" i="4" s="1"/>
  <c r="H85" i="4" s="1"/>
  <c r="G91" i="4"/>
  <c r="G92" i="4"/>
  <c r="G93" i="4"/>
  <c r="H99" i="4"/>
  <c r="F101" i="4"/>
  <c r="H101" i="4"/>
  <c r="G102" i="4"/>
  <c r="G101" i="4" s="1"/>
  <c r="F103" i="4"/>
  <c r="H103" i="4"/>
  <c r="I103" i="4"/>
  <c r="G104" i="4"/>
  <c r="G103" i="4" s="1"/>
  <c r="F106" i="4"/>
  <c r="F105" i="4" s="1"/>
  <c r="H106" i="4"/>
  <c r="H105" i="4" s="1"/>
  <c r="I106" i="4"/>
  <c r="I105" i="4" s="1"/>
  <c r="G107" i="4"/>
  <c r="G106" i="4" s="1"/>
  <c r="G105" i="4" s="1"/>
  <c r="F113" i="4"/>
  <c r="F112" i="4" s="1"/>
  <c r="F111" i="4" s="1"/>
  <c r="H113" i="4"/>
  <c r="G114" i="4"/>
  <c r="G113" i="4" s="1"/>
  <c r="G112" i="4" s="1"/>
  <c r="G111" i="4" s="1"/>
  <c r="F119" i="4"/>
  <c r="F118" i="4" s="1"/>
  <c r="F117" i="4" s="1"/>
  <c r="H119" i="4"/>
  <c r="H118" i="4" s="1"/>
  <c r="I119" i="4"/>
  <c r="G120" i="4"/>
  <c r="G119" i="4" s="1"/>
  <c r="G118" i="4" s="1"/>
  <c r="G117" i="4" s="1"/>
  <c r="F126" i="4"/>
  <c r="F125" i="4" s="1"/>
  <c r="F124" i="4" s="1"/>
  <c r="F121" i="4" s="1"/>
  <c r="H126" i="4"/>
  <c r="I126" i="4"/>
  <c r="I125" i="4" s="1"/>
  <c r="I124" i="4" s="1"/>
  <c r="I121" i="4" s="1"/>
  <c r="G127" i="4"/>
  <c r="G126" i="4" s="1"/>
  <c r="G125" i="4" s="1"/>
  <c r="G124" i="4" s="1"/>
  <c r="G121" i="4" s="1"/>
  <c r="F133" i="4"/>
  <c r="F132" i="4" s="1"/>
  <c r="F131" i="4" s="1"/>
  <c r="F128" i="4" s="1"/>
  <c r="H133" i="4"/>
  <c r="H132" i="4" s="1"/>
  <c r="H131" i="4" s="1"/>
  <c r="H128" i="4" s="1"/>
  <c r="G134" i="4"/>
  <c r="G135" i="4"/>
  <c r="F141" i="4"/>
  <c r="F140" i="4" s="1"/>
  <c r="F139" i="4" s="1"/>
  <c r="F136" i="4" s="1"/>
  <c r="H141" i="4"/>
  <c r="I141" i="4"/>
  <c r="G142" i="4"/>
  <c r="G141" i="4" s="1"/>
  <c r="G140" i="4" s="1"/>
  <c r="G139" i="4" s="1"/>
  <c r="G136" i="4" s="1"/>
  <c r="F148" i="4"/>
  <c r="F147" i="4" s="1"/>
  <c r="F146" i="4" s="1"/>
  <c r="F143" i="4" s="1"/>
  <c r="H148" i="4"/>
  <c r="I148" i="4"/>
  <c r="I147" i="4" s="1"/>
  <c r="I146" i="4" s="1"/>
  <c r="G149" i="4"/>
  <c r="G148" i="4" s="1"/>
  <c r="G147" i="4" s="1"/>
  <c r="G146" i="4" s="1"/>
  <c r="G143" i="4" s="1"/>
  <c r="E150" i="4"/>
  <c r="H156" i="4"/>
  <c r="I156" i="4"/>
  <c r="I155" i="4" s="1"/>
  <c r="G157" i="4"/>
  <c r="G158" i="4"/>
  <c r="F162" i="4"/>
  <c r="H164" i="4"/>
  <c r="H163" i="4" s="1"/>
  <c r="H162" i="4" s="1"/>
  <c r="I164" i="4"/>
  <c r="G165" i="4"/>
  <c r="G166" i="4"/>
  <c r="G167" i="4"/>
  <c r="G168" i="4"/>
  <c r="G162" i="4" s="1"/>
  <c r="G169" i="4"/>
  <c r="G170" i="4"/>
  <c r="G171" i="4"/>
  <c r="G172" i="4"/>
  <c r="F177" i="4"/>
  <c r="F176" i="4" s="1"/>
  <c r="F175" i="4" s="1"/>
  <c r="H177" i="4"/>
  <c r="H176" i="4" s="1"/>
  <c r="I177" i="4"/>
  <c r="G178" i="4"/>
  <c r="G177" i="4" s="1"/>
  <c r="G176" i="4" s="1"/>
  <c r="G175" i="4" s="1"/>
  <c r="F183" i="4"/>
  <c r="F182" i="4" s="1"/>
  <c r="F181" i="4" s="1"/>
  <c r="H183" i="4"/>
  <c r="I183" i="4"/>
  <c r="G184" i="4"/>
  <c r="G183" i="4" s="1"/>
  <c r="G182" i="4" s="1"/>
  <c r="G181" i="4" s="1"/>
  <c r="F190" i="4"/>
  <c r="F189" i="4" s="1"/>
  <c r="F188" i="4" s="1"/>
  <c r="F185" i="4" s="1"/>
  <c r="I189" i="4"/>
  <c r="G191" i="4"/>
  <c r="G190" i="4" s="1"/>
  <c r="G189" i="4" s="1"/>
  <c r="G188" i="4" s="1"/>
  <c r="G185" i="4" s="1"/>
  <c r="F198" i="4"/>
  <c r="F197" i="4" s="1"/>
  <c r="F196" i="4" s="1"/>
  <c r="H198" i="4"/>
  <c r="I198" i="4"/>
  <c r="G199" i="4"/>
  <c r="G198" i="4" s="1"/>
  <c r="G197" i="4" s="1"/>
  <c r="G196" i="4" s="1"/>
  <c r="H202" i="4"/>
  <c r="F204" i="4"/>
  <c r="F203" i="4" s="1"/>
  <c r="F202" i="4" s="1"/>
  <c r="H204" i="4"/>
  <c r="I204" i="4"/>
  <c r="I203" i="4" s="1"/>
  <c r="I202" i="4" s="1"/>
  <c r="G205" i="4"/>
  <c r="G204" i="4" s="1"/>
  <c r="G203" i="4" s="1"/>
  <c r="G202" i="4" s="1"/>
  <c r="E206" i="4"/>
  <c r="F211" i="4"/>
  <c r="F210" i="4" s="1"/>
  <c r="F209" i="4" s="1"/>
  <c r="H211" i="4"/>
  <c r="H210" i="4" s="1"/>
  <c r="H209" i="4" s="1"/>
  <c r="I211" i="4"/>
  <c r="G212" i="4"/>
  <c r="G211" i="4" s="1"/>
  <c r="G210" i="4" s="1"/>
  <c r="G209" i="4" s="1"/>
  <c r="F217" i="4"/>
  <c r="F216" i="4" s="1"/>
  <c r="F215" i="4" s="1"/>
  <c r="H217" i="4"/>
  <c r="H216" i="4" s="1"/>
  <c r="H215" i="4" s="1"/>
  <c r="I217" i="4"/>
  <c r="I216" i="4" s="1"/>
  <c r="I215" i="4" s="1"/>
  <c r="G218" i="4"/>
  <c r="G217" i="4" s="1"/>
  <c r="G216" i="4" s="1"/>
  <c r="G215" i="4" s="1"/>
  <c r="F223" i="4"/>
  <c r="F222" i="4" s="1"/>
  <c r="F221" i="4" s="1"/>
  <c r="H223" i="4"/>
  <c r="I223" i="4"/>
  <c r="I222" i="4" s="1"/>
  <c r="G224" i="4"/>
  <c r="G223" i="4" s="1"/>
  <c r="G222" i="4" s="1"/>
  <c r="G221" i="4" s="1"/>
  <c r="F229" i="4"/>
  <c r="F228" i="4" s="1"/>
  <c r="F227" i="4" s="1"/>
  <c r="H229" i="4"/>
  <c r="H228" i="4" s="1"/>
  <c r="H227" i="4" s="1"/>
  <c r="I229" i="4"/>
  <c r="G230" i="4"/>
  <c r="G229" i="4" s="1"/>
  <c r="G228" i="4" s="1"/>
  <c r="G227" i="4" s="1"/>
  <c r="F236" i="4"/>
  <c r="F235" i="4" s="1"/>
  <c r="F234" i="4" s="1"/>
  <c r="H236" i="4"/>
  <c r="I236" i="4"/>
  <c r="G237" i="4"/>
  <c r="G238" i="4"/>
  <c r="F244" i="4"/>
  <c r="F243" i="4" s="1"/>
  <c r="F242" i="4" s="1"/>
  <c r="F239" i="4" s="1"/>
  <c r="H244" i="4"/>
  <c r="H243" i="4" s="1"/>
  <c r="H242" i="4" s="1"/>
  <c r="H239" i="4" s="1"/>
  <c r="I244" i="4"/>
  <c r="I243" i="4" s="1"/>
  <c r="G245" i="4"/>
  <c r="G244" i="4" s="1"/>
  <c r="G243" i="4" s="1"/>
  <c r="G242" i="4" s="1"/>
  <c r="G239" i="4" s="1"/>
  <c r="E246" i="4"/>
  <c r="F251" i="4"/>
  <c r="F250" i="4" s="1"/>
  <c r="F249" i="4" s="1"/>
  <c r="H251" i="4"/>
  <c r="H250" i="4" s="1"/>
  <c r="H249" i="4" s="1"/>
  <c r="I251" i="4"/>
  <c r="G252" i="4"/>
  <c r="G251" i="4" s="1"/>
  <c r="G250" i="4" s="1"/>
  <c r="G249" i="4" s="1"/>
  <c r="F257" i="4"/>
  <c r="H257" i="4"/>
  <c r="I257" i="4"/>
  <c r="G258" i="4"/>
  <c r="G259" i="4"/>
  <c r="F260" i="4"/>
  <c r="H260" i="4"/>
  <c r="I260" i="4"/>
  <c r="G261" i="4"/>
  <c r="G262" i="4"/>
  <c r="F268" i="4"/>
  <c r="H268" i="4"/>
  <c r="G269" i="4"/>
  <c r="G268" i="4" s="1"/>
  <c r="F270" i="4"/>
  <c r="H270" i="4"/>
  <c r="I270" i="4"/>
  <c r="G271" i="4"/>
  <c r="G270" i="4" s="1"/>
  <c r="E272" i="4"/>
  <c r="F277" i="4"/>
  <c r="F276" i="4" s="1"/>
  <c r="F275" i="4" s="1"/>
  <c r="H277" i="4"/>
  <c r="I277" i="4"/>
  <c r="I276" i="4" s="1"/>
  <c r="I275" i="4" s="1"/>
  <c r="G278" i="4"/>
  <c r="G277" i="4" s="1"/>
  <c r="G276" i="4" s="1"/>
  <c r="G275" i="4" s="1"/>
  <c r="F283" i="4"/>
  <c r="F282" i="4" s="1"/>
  <c r="F281" i="4" s="1"/>
  <c r="H283" i="4"/>
  <c r="I283" i="4"/>
  <c r="I282" i="4" s="1"/>
  <c r="I281" i="4" s="1"/>
  <c r="G284" i="4"/>
  <c r="G283" i="4" s="1"/>
  <c r="G282" i="4" s="1"/>
  <c r="G281" i="4" s="1"/>
  <c r="F290" i="4"/>
  <c r="F289" i="4" s="1"/>
  <c r="F288" i="4" s="1"/>
  <c r="H290" i="4"/>
  <c r="H289" i="4" s="1"/>
  <c r="H288" i="4" s="1"/>
  <c r="I290" i="4"/>
  <c r="G291" i="4"/>
  <c r="G290" i="4" s="1"/>
  <c r="G289" i="4" s="1"/>
  <c r="G288" i="4" s="1"/>
  <c r="F296" i="4"/>
  <c r="F295" i="4" s="1"/>
  <c r="F294" i="4" s="1"/>
  <c r="H296" i="4"/>
  <c r="H295" i="4" s="1"/>
  <c r="H294" i="4" s="1"/>
  <c r="I296" i="4"/>
  <c r="G297" i="4"/>
  <c r="G296" i="4" s="1"/>
  <c r="G295" i="4" s="1"/>
  <c r="G294" i="4" s="1"/>
  <c r="E298" i="4"/>
  <c r="F303" i="4"/>
  <c r="H303" i="4"/>
  <c r="I303" i="4"/>
  <c r="G304" i="4"/>
  <c r="G303" i="4" s="1"/>
  <c r="F305" i="4"/>
  <c r="H305" i="4"/>
  <c r="I305" i="4"/>
  <c r="G306" i="4"/>
  <c r="G305" i="4" s="1"/>
  <c r="F311" i="4"/>
  <c r="F310" i="4" s="1"/>
  <c r="H311" i="4"/>
  <c r="I311" i="4"/>
  <c r="I310" i="4" s="1"/>
  <c r="G312" i="4"/>
  <c r="G313" i="4"/>
  <c r="F315" i="4"/>
  <c r="F314" i="4" s="1"/>
  <c r="G315" i="4"/>
  <c r="G314" i="4" s="1"/>
  <c r="H315" i="4"/>
  <c r="I315" i="4"/>
  <c r="I314" i="4" s="1"/>
  <c r="J315" i="4"/>
  <c r="J314" i="4" s="1"/>
  <c r="K315" i="4"/>
  <c r="K314" i="4" s="1"/>
  <c r="L316" i="4"/>
  <c r="F321" i="4"/>
  <c r="F320" i="4" s="1"/>
  <c r="F319" i="4" s="1"/>
  <c r="H321" i="4"/>
  <c r="H320" i="4" s="1"/>
  <c r="H319" i="4" s="1"/>
  <c r="I321" i="4"/>
  <c r="G322" i="4"/>
  <c r="G321" i="4" s="1"/>
  <c r="G320" i="4" s="1"/>
  <c r="G319" i="4" s="1"/>
  <c r="F327" i="4"/>
  <c r="F326" i="4" s="1"/>
  <c r="F325" i="4" s="1"/>
  <c r="H326" i="4"/>
  <c r="H325" i="4" s="1"/>
  <c r="I327" i="4"/>
  <c r="I326" i="4" s="1"/>
  <c r="G328" i="4"/>
  <c r="G327" i="4" s="1"/>
  <c r="G326" i="4" s="1"/>
  <c r="G325" i="4" s="1"/>
  <c r="F333" i="4"/>
  <c r="F332" i="4" s="1"/>
  <c r="F331" i="4" s="1"/>
  <c r="H333" i="4"/>
  <c r="H332" i="4" s="1"/>
  <c r="H331" i="4" s="1"/>
  <c r="I333" i="4"/>
  <c r="G334" i="4"/>
  <c r="G333" i="4" s="1"/>
  <c r="G332" i="4" s="1"/>
  <c r="G331" i="4" s="1"/>
  <c r="F339" i="4"/>
  <c r="F338" i="4" s="1"/>
  <c r="F337" i="4" s="1"/>
  <c r="H339" i="4"/>
  <c r="H338" i="4" s="1"/>
  <c r="H337" i="4" s="1"/>
  <c r="I339" i="4"/>
  <c r="I338" i="4" s="1"/>
  <c r="I337" i="4" s="1"/>
  <c r="G340" i="4"/>
  <c r="G339" i="4" s="1"/>
  <c r="G338" i="4" s="1"/>
  <c r="G337" i="4" s="1"/>
  <c r="F345" i="4"/>
  <c r="F344" i="4" s="1"/>
  <c r="F343" i="4" s="1"/>
  <c r="H345" i="4"/>
  <c r="H344" i="4" s="1"/>
  <c r="H343" i="4" s="1"/>
  <c r="I345" i="4"/>
  <c r="G346" i="4"/>
  <c r="G345" i="4" s="1"/>
  <c r="G344" i="4" s="1"/>
  <c r="G343" i="4" s="1"/>
  <c r="F351" i="4"/>
  <c r="F350" i="4" s="1"/>
  <c r="F349" i="4" s="1"/>
  <c r="H351" i="4"/>
  <c r="H350" i="4" s="1"/>
  <c r="H349" i="4" s="1"/>
  <c r="I351" i="4"/>
  <c r="I350" i="4" s="1"/>
  <c r="G352" i="4"/>
  <c r="G351" i="4" s="1"/>
  <c r="G350" i="4" s="1"/>
  <c r="G349" i="4" s="1"/>
  <c r="F357" i="4"/>
  <c r="H357" i="4"/>
  <c r="I357" i="4"/>
  <c r="G358" i="4"/>
  <c r="G357" i="4" s="1"/>
  <c r="F359" i="4"/>
  <c r="H359" i="4"/>
  <c r="I359" i="4"/>
  <c r="G360" i="4"/>
  <c r="G359" i="4" s="1"/>
  <c r="H365" i="4"/>
  <c r="H364" i="4" s="1"/>
  <c r="I365" i="4"/>
  <c r="I364" i="4" s="1"/>
  <c r="F366" i="4"/>
  <c r="F364" i="4" s="1"/>
  <c r="F363" i="4" s="1"/>
  <c r="F367" i="4"/>
  <c r="G367" i="4"/>
  <c r="K367" i="4"/>
  <c r="G368" i="4"/>
  <c r="G366" i="4" s="1"/>
  <c r="G364" i="4" s="1"/>
  <c r="G363" i="4" s="1"/>
  <c r="H369" i="4"/>
  <c r="H368" i="4" s="1"/>
  <c r="F375" i="4"/>
  <c r="F374" i="4" s="1"/>
  <c r="F373" i="4" s="1"/>
  <c r="I375" i="4"/>
  <c r="I374" i="4" s="1"/>
  <c r="G376" i="4"/>
  <c r="H376" i="4" s="1"/>
  <c r="J376" i="4" s="1"/>
  <c r="L376" i="4" s="1"/>
  <c r="G377" i="4"/>
  <c r="H377" i="4" s="1"/>
  <c r="J377" i="4" s="1"/>
  <c r="F382" i="4"/>
  <c r="F381" i="4" s="1"/>
  <c r="F380" i="4" s="1"/>
  <c r="H382" i="4"/>
  <c r="I382" i="4"/>
  <c r="G383" i="4"/>
  <c r="G382" i="4" s="1"/>
  <c r="G381" i="4" s="1"/>
  <c r="G380" i="4" s="1"/>
  <c r="H384" i="4"/>
  <c r="E386" i="4"/>
  <c r="F391" i="4"/>
  <c r="F390" i="4" s="1"/>
  <c r="F389" i="4" s="1"/>
  <c r="H391" i="4"/>
  <c r="I391" i="4"/>
  <c r="G392" i="4"/>
  <c r="G391" i="4" s="1"/>
  <c r="G390" i="4" s="1"/>
  <c r="G389" i="4" s="1"/>
  <c r="F397" i="4"/>
  <c r="F396" i="4" s="1"/>
  <c r="F395" i="4" s="1"/>
  <c r="H397" i="4"/>
  <c r="H396" i="4" s="1"/>
  <c r="H395" i="4" s="1"/>
  <c r="I397" i="4"/>
  <c r="I396" i="4" s="1"/>
  <c r="I395" i="4" s="1"/>
  <c r="G398" i="4"/>
  <c r="G397" i="4" s="1"/>
  <c r="G396" i="4" s="1"/>
  <c r="G395" i="4" s="1"/>
  <c r="F403" i="4"/>
  <c r="F402" i="4" s="1"/>
  <c r="F401" i="4" s="1"/>
  <c r="H402" i="4"/>
  <c r="H401" i="4" s="1"/>
  <c r="G404" i="4"/>
  <c r="G407" i="4"/>
  <c r="G408" i="4"/>
  <c r="G409" i="4"/>
  <c r="F415" i="4"/>
  <c r="F414" i="4" s="1"/>
  <c r="F413" i="4" s="1"/>
  <c r="H415" i="4"/>
  <c r="H414" i="4" s="1"/>
  <c r="H413" i="4" s="1"/>
  <c r="I415" i="4"/>
  <c r="G416" i="4"/>
  <c r="G417" i="4"/>
  <c r="F422" i="4"/>
  <c r="F421" i="4" s="1"/>
  <c r="F420" i="4" s="1"/>
  <c r="H422" i="4"/>
  <c r="I422" i="4"/>
  <c r="G423" i="4"/>
  <c r="G422" i="4" s="1"/>
  <c r="G421" i="4" s="1"/>
  <c r="G420" i="4" s="1"/>
  <c r="H424" i="4"/>
  <c r="I424" i="4"/>
  <c r="H430" i="4"/>
  <c r="I430" i="4"/>
  <c r="E440" i="4"/>
  <c r="F451" i="4"/>
  <c r="H451" i="4"/>
  <c r="I451" i="4"/>
  <c r="G452" i="4"/>
  <c r="G451" i="4" s="1"/>
  <c r="F453" i="4"/>
  <c r="H453" i="4"/>
  <c r="I453" i="4"/>
  <c r="G454" i="4"/>
  <c r="G453" i="4" s="1"/>
  <c r="F459" i="4"/>
  <c r="F458" i="4" s="1"/>
  <c r="F457" i="4" s="1"/>
  <c r="H459" i="4"/>
  <c r="H458" i="4" s="1"/>
  <c r="H457" i="4" s="1"/>
  <c r="I459" i="4"/>
  <c r="J459" i="4"/>
  <c r="J458" i="4" s="1"/>
  <c r="J457" i="4" s="1"/>
  <c r="G460" i="4"/>
  <c r="G459" i="4" s="1"/>
  <c r="G458" i="4" s="1"/>
  <c r="G457" i="4" s="1"/>
  <c r="K460" i="4"/>
  <c r="K459" i="4" s="1"/>
  <c r="K458" i="4" s="1"/>
  <c r="K457" i="4" s="1"/>
  <c r="L460" i="4"/>
  <c r="F465" i="4"/>
  <c r="F464" i="4" s="1"/>
  <c r="F463" i="4" s="1"/>
  <c r="H465" i="4"/>
  <c r="H464" i="4" s="1"/>
  <c r="H463" i="4" s="1"/>
  <c r="I465" i="4"/>
  <c r="I464" i="4" s="1"/>
  <c r="I463" i="4" s="1"/>
  <c r="G466" i="4"/>
  <c r="G465" i="4" s="1"/>
  <c r="G464" i="4" s="1"/>
  <c r="G463" i="4" s="1"/>
  <c r="F471" i="4"/>
  <c r="F470" i="4" s="1"/>
  <c r="F469" i="4" s="1"/>
  <c r="H471" i="4"/>
  <c r="H470" i="4" s="1"/>
  <c r="H469" i="4" s="1"/>
  <c r="I471" i="4"/>
  <c r="G472" i="4"/>
  <c r="G471" i="4" s="1"/>
  <c r="G470" i="4" s="1"/>
  <c r="G469" i="4" s="1"/>
  <c r="F477" i="4"/>
  <c r="F476" i="4" s="1"/>
  <c r="F475" i="4" s="1"/>
  <c r="H477" i="4"/>
  <c r="I477" i="4"/>
  <c r="G478" i="4"/>
  <c r="G477" i="4" s="1"/>
  <c r="G476" i="4" s="1"/>
  <c r="G475" i="4" s="1"/>
  <c r="F488" i="4"/>
  <c r="F487" i="4" s="1"/>
  <c r="F486" i="4" s="1"/>
  <c r="H488" i="4"/>
  <c r="H487" i="4" s="1"/>
  <c r="H486" i="4" s="1"/>
  <c r="G489" i="4"/>
  <c r="G488" i="4" s="1"/>
  <c r="G487" i="4" s="1"/>
  <c r="G486" i="4" s="1"/>
  <c r="G490" i="4"/>
  <c r="F496" i="4"/>
  <c r="H496" i="4"/>
  <c r="I496" i="4"/>
  <c r="G497" i="4"/>
  <c r="G496" i="4" s="1"/>
  <c r="F502" i="4"/>
  <c r="F501" i="4" s="1"/>
  <c r="F500" i="4" s="1"/>
  <c r="I502" i="4"/>
  <c r="I501" i="4" s="1"/>
  <c r="I500" i="4" s="1"/>
  <c r="G503" i="4"/>
  <c r="H503" i="4" s="1"/>
  <c r="O179" i="1" s="1"/>
  <c r="F515" i="4"/>
  <c r="F514" i="4" s="1"/>
  <c r="F513" i="4" s="1"/>
  <c r="H515" i="4"/>
  <c r="G517" i="4"/>
  <c r="G515" i="4" s="1"/>
  <c r="G514" i="4" s="1"/>
  <c r="G513" i="4" s="1"/>
  <c r="F540" i="4"/>
  <c r="F539" i="4" s="1"/>
  <c r="F538" i="4" s="1"/>
  <c r="H540" i="4"/>
  <c r="I540" i="4"/>
  <c r="G541" i="4"/>
  <c r="G540" i="4" s="1"/>
  <c r="G539" i="4" s="1"/>
  <c r="G538" i="4" s="1"/>
  <c r="H542" i="4"/>
  <c r="I542" i="4"/>
  <c r="F548" i="4"/>
  <c r="F547" i="4" s="1"/>
  <c r="F546" i="4" s="1"/>
  <c r="H548" i="4"/>
  <c r="G549" i="4"/>
  <c r="G550" i="4"/>
  <c r="G548" i="4" s="1"/>
  <c r="G547" i="4" s="1"/>
  <c r="G546" i="4" s="1"/>
  <c r="I555" i="4"/>
  <c r="F570" i="4"/>
  <c r="F569" i="4" s="1"/>
  <c r="F568" i="4" s="1"/>
  <c r="F565" i="4" s="1"/>
  <c r="G570" i="4"/>
  <c r="G569" i="4" s="1"/>
  <c r="G568" i="4" s="1"/>
  <c r="G565" i="4" s="1"/>
  <c r="H570" i="4"/>
  <c r="H569" i="4" s="1"/>
  <c r="H568" i="4" s="1"/>
  <c r="I570" i="4"/>
  <c r="I569" i="4" s="1"/>
  <c r="I568" i="4" s="1"/>
  <c r="K570" i="4"/>
  <c r="K569" i="4" s="1"/>
  <c r="K568" i="4" s="1"/>
  <c r="K565" i="4" s="1"/>
  <c r="F577" i="4"/>
  <c r="F576" i="4" s="1"/>
  <c r="F575" i="4" s="1"/>
  <c r="G577" i="4"/>
  <c r="G576" i="4" s="1"/>
  <c r="G575" i="4" s="1"/>
  <c r="H577" i="4"/>
  <c r="H576" i="4" s="1"/>
  <c r="H575" i="4" s="1"/>
  <c r="I577" i="4"/>
  <c r="I576" i="4" s="1"/>
  <c r="I575" i="4" s="1"/>
  <c r="K577" i="4"/>
  <c r="K576" i="4" s="1"/>
  <c r="K575" i="4" s="1"/>
  <c r="E584" i="4"/>
  <c r="E583" i="4" s="1"/>
  <c r="E580" i="4" s="1"/>
  <c r="F585" i="4"/>
  <c r="H585" i="4"/>
  <c r="I585" i="4"/>
  <c r="G586" i="4"/>
  <c r="G585" i="4" s="1"/>
  <c r="G587" i="4"/>
  <c r="F588" i="4"/>
  <c r="H588" i="4"/>
  <c r="I588" i="4"/>
  <c r="G589" i="4"/>
  <c r="G588" i="4" s="1"/>
  <c r="G590" i="4"/>
  <c r="F591" i="4"/>
  <c r="H591" i="4"/>
  <c r="I591" i="4"/>
  <c r="G592" i="4"/>
  <c r="G591" i="4" s="1"/>
  <c r="G593" i="4"/>
  <c r="F595" i="4"/>
  <c r="H595" i="4"/>
  <c r="I595" i="4"/>
  <c r="G596" i="4"/>
  <c r="G595" i="4" s="1"/>
  <c r="G597" i="4"/>
  <c r="E598" i="4"/>
  <c r="E595" i="4" s="1"/>
  <c r="F598" i="4"/>
  <c r="G599" i="4"/>
  <c r="G598" i="4" s="1"/>
  <c r="E603" i="4"/>
  <c r="F605" i="4"/>
  <c r="H605" i="4"/>
  <c r="I605" i="4"/>
  <c r="G606" i="4"/>
  <c r="G605" i="4" s="1"/>
  <c r="G607" i="4"/>
  <c r="E610" i="4"/>
  <c r="F610" i="4"/>
  <c r="H610" i="4"/>
  <c r="I610" i="4"/>
  <c r="G611" i="4"/>
  <c r="G610" i="4" s="1"/>
  <c r="E616" i="4"/>
  <c r="E615" i="4" s="1"/>
  <c r="E612" i="4" s="1"/>
  <c r="F617" i="4"/>
  <c r="H617" i="4"/>
  <c r="I617" i="4"/>
  <c r="G618" i="4"/>
  <c r="G617" i="4" s="1"/>
  <c r="G619" i="4"/>
  <c r="F620" i="4"/>
  <c r="G620" i="4"/>
  <c r="H620" i="4"/>
  <c r="I620" i="4"/>
  <c r="K620" i="4"/>
  <c r="F622" i="4"/>
  <c r="H622" i="4"/>
  <c r="I622" i="4"/>
  <c r="G623" i="4"/>
  <c r="G622" i="4" s="1"/>
  <c r="G624" i="4"/>
  <c r="F626" i="4"/>
  <c r="F625" i="4" s="1"/>
  <c r="H626" i="4"/>
  <c r="I626" i="4"/>
  <c r="I625" i="4" s="1"/>
  <c r="G627" i="4"/>
  <c r="G626" i="4" s="1"/>
  <c r="G625" i="4" s="1"/>
  <c r="G628" i="4"/>
  <c r="F629" i="4"/>
  <c r="G629" i="4"/>
  <c r="H629" i="4"/>
  <c r="I629" i="4"/>
  <c r="K629" i="4"/>
  <c r="E641" i="4"/>
  <c r="E629" i="4" s="1"/>
  <c r="E626" i="4" s="1"/>
  <c r="P147" i="1"/>
  <c r="O147" i="1"/>
  <c r="P154" i="1"/>
  <c r="O154" i="1"/>
  <c r="P124" i="1"/>
  <c r="O124" i="1"/>
  <c r="P121" i="1"/>
  <c r="P192" i="1"/>
  <c r="O192" i="1"/>
  <c r="P185" i="1"/>
  <c r="O185" i="1"/>
  <c r="P183" i="1"/>
  <c r="O183" i="1"/>
  <c r="P189" i="1"/>
  <c r="O189" i="1"/>
  <c r="P112" i="1"/>
  <c r="O112" i="1"/>
  <c r="P105" i="1"/>
  <c r="O105" i="1"/>
  <c r="P103" i="1"/>
  <c r="O103" i="1"/>
  <c r="P101" i="1"/>
  <c r="O101" i="1"/>
  <c r="P111" i="1"/>
  <c r="O111" i="1"/>
  <c r="P188" i="1"/>
  <c r="O188" i="1"/>
  <c r="Q58" i="1" l="1"/>
  <c r="G193" i="4"/>
  <c r="Q133" i="1"/>
  <c r="H494" i="4"/>
  <c r="H493" i="4" s="1"/>
  <c r="H495" i="4"/>
  <c r="F494" i="4"/>
  <c r="F493" i="4" s="1"/>
  <c r="F495" i="4"/>
  <c r="G494" i="4"/>
  <c r="G493" i="4" s="1"/>
  <c r="G495" i="4"/>
  <c r="I494" i="4"/>
  <c r="I493" i="4" s="1"/>
  <c r="I495" i="4"/>
  <c r="K40" i="4"/>
  <c r="Q123" i="1"/>
  <c r="L44" i="4"/>
  <c r="Q127" i="1"/>
  <c r="R127" i="1" s="1"/>
  <c r="F193" i="4"/>
  <c r="Q122" i="1"/>
  <c r="R122" i="1" s="1"/>
  <c r="J403" i="4"/>
  <c r="Q178" i="1"/>
  <c r="R178" i="1" s="1"/>
  <c r="J532" i="4"/>
  <c r="J531" i="4" s="1"/>
  <c r="L531" i="4" s="1"/>
  <c r="L42" i="4"/>
  <c r="I235" i="4"/>
  <c r="I234" i="4" s="1"/>
  <c r="K39" i="4"/>
  <c r="L549" i="4"/>
  <c r="J527" i="4"/>
  <c r="J526" i="4" s="1"/>
  <c r="L526" i="4" s="1"/>
  <c r="L524" i="4"/>
  <c r="J522" i="4"/>
  <c r="J521" i="4" s="1"/>
  <c r="L519" i="4"/>
  <c r="J518" i="4"/>
  <c r="L518" i="4" s="1"/>
  <c r="J465" i="4"/>
  <c r="J464" i="4" s="1"/>
  <c r="L464" i="4" s="1"/>
  <c r="I565" i="4"/>
  <c r="H565" i="4"/>
  <c r="J503" i="4"/>
  <c r="Q179" i="1" s="1"/>
  <c r="J397" i="4"/>
  <c r="L397" i="4" s="1"/>
  <c r="K478" i="4"/>
  <c r="K477" i="4" s="1"/>
  <c r="K476" i="4" s="1"/>
  <c r="K475" i="4" s="1"/>
  <c r="K452" i="4"/>
  <c r="K451" i="4" s="1"/>
  <c r="O158" i="1"/>
  <c r="P158" i="1"/>
  <c r="H235" i="4"/>
  <c r="H234" i="4" s="1"/>
  <c r="L528" i="4"/>
  <c r="L523" i="4"/>
  <c r="L517" i="4"/>
  <c r="J515" i="4"/>
  <c r="L515" i="4" s="1"/>
  <c r="L533" i="4"/>
  <c r="K340" i="4"/>
  <c r="K339" i="4" s="1"/>
  <c r="K338" i="4" s="1"/>
  <c r="K337" i="4" s="1"/>
  <c r="K313" i="4"/>
  <c r="K167" i="4"/>
  <c r="K135" i="4"/>
  <c r="K549" i="4"/>
  <c r="J422" i="4"/>
  <c r="L422" i="4" s="1"/>
  <c r="J391" i="4"/>
  <c r="J390" i="4" s="1"/>
  <c r="J389" i="4" s="1"/>
  <c r="J119" i="4"/>
  <c r="J118" i="4" s="1"/>
  <c r="J117" i="4" s="1"/>
  <c r="K297" i="4"/>
  <c r="K296" i="4" s="1"/>
  <c r="K295" i="4" s="1"/>
  <c r="K294" i="4" s="1"/>
  <c r="K285" i="4" s="1"/>
  <c r="J629" i="4"/>
  <c r="L629" i="4" s="1"/>
  <c r="L432" i="4"/>
  <c r="K334" i="4"/>
  <c r="K333" i="4" s="1"/>
  <c r="K332" i="4" s="1"/>
  <c r="K331" i="4" s="1"/>
  <c r="K392" i="4"/>
  <c r="K391" i="4" s="1"/>
  <c r="K390" i="4" s="1"/>
  <c r="K389" i="4" s="1"/>
  <c r="J451" i="4"/>
  <c r="L451" i="4" s="1"/>
  <c r="K423" i="4"/>
  <c r="K422" i="4" s="1"/>
  <c r="K421" i="4" s="1"/>
  <c r="K420" i="4" s="1"/>
  <c r="K408" i="4"/>
  <c r="I381" i="4"/>
  <c r="I380" i="4" s="1"/>
  <c r="J359" i="4"/>
  <c r="L359" i="4" s="1"/>
  <c r="K358" i="4"/>
  <c r="K357" i="4" s="1"/>
  <c r="K312" i="4"/>
  <c r="K269" i="4"/>
  <c r="K268" i="4" s="1"/>
  <c r="K171" i="4"/>
  <c r="J113" i="4"/>
  <c r="J112" i="4" s="1"/>
  <c r="J364" i="4"/>
  <c r="L364" i="4" s="1"/>
  <c r="K322" i="4"/>
  <c r="K321" i="4" s="1"/>
  <c r="K320" i="4" s="1"/>
  <c r="K319" i="4" s="1"/>
  <c r="J303" i="4"/>
  <c r="L303" i="4" s="1"/>
  <c r="F450" i="4"/>
  <c r="F449" i="4" s="1"/>
  <c r="J229" i="4"/>
  <c r="L229" i="4" s="1"/>
  <c r="K587" i="4"/>
  <c r="K623" i="4"/>
  <c r="K622" i="4" s="1"/>
  <c r="K611" i="4"/>
  <c r="K610" i="4" s="1"/>
  <c r="K245" i="4"/>
  <c r="K244" i="4" s="1"/>
  <c r="K243" i="4" s="1"/>
  <c r="K242" i="4" s="1"/>
  <c r="K239" i="4" s="1"/>
  <c r="K628" i="4"/>
  <c r="K593" i="4"/>
  <c r="K261" i="4"/>
  <c r="K607" i="4"/>
  <c r="K170" i="4"/>
  <c r="K224" i="4"/>
  <c r="K223" i="4" s="1"/>
  <c r="K222" i="4" s="1"/>
  <c r="K221" i="4" s="1"/>
  <c r="J610" i="4"/>
  <c r="L610" i="4" s="1"/>
  <c r="J555" i="4"/>
  <c r="L555" i="4" s="1"/>
  <c r="J542" i="4"/>
  <c r="L542" i="4" s="1"/>
  <c r="K517" i="4"/>
  <c r="K515" i="4" s="1"/>
  <c r="K514" i="4" s="1"/>
  <c r="K513" i="4" s="1"/>
  <c r="K472" i="4"/>
  <c r="K471" i="4" s="1"/>
  <c r="K470" i="4" s="1"/>
  <c r="K469" i="4" s="1"/>
  <c r="J333" i="4"/>
  <c r="J332" i="4" s="1"/>
  <c r="J311" i="4"/>
  <c r="L311" i="4" s="1"/>
  <c r="K306" i="4"/>
  <c r="K305" i="4" s="1"/>
  <c r="K165" i="4"/>
  <c r="K56" i="4"/>
  <c r="J598" i="4"/>
  <c r="L598" i="4" s="1"/>
  <c r="K606" i="4"/>
  <c r="K605" i="4" s="1"/>
  <c r="K92" i="4"/>
  <c r="J77" i="4"/>
  <c r="J76" i="4" s="1"/>
  <c r="L76" i="4" s="1"/>
  <c r="K596" i="4"/>
  <c r="K595" i="4" s="1"/>
  <c r="K589" i="4"/>
  <c r="K588" i="4" s="1"/>
  <c r="J357" i="4"/>
  <c r="L357" i="4" s="1"/>
  <c r="K104" i="4"/>
  <c r="K103" i="4" s="1"/>
  <c r="J18" i="4"/>
  <c r="L18" i="4" s="1"/>
  <c r="K624" i="4"/>
  <c r="J588" i="4"/>
  <c r="L588" i="4" s="1"/>
  <c r="J577" i="4"/>
  <c r="J576" i="4" s="1"/>
  <c r="J575" i="4" s="1"/>
  <c r="L575" i="4" s="1"/>
  <c r="K383" i="4"/>
  <c r="K382" i="4" s="1"/>
  <c r="K381" i="4" s="1"/>
  <c r="K380" i="4" s="1"/>
  <c r="K158" i="4"/>
  <c r="J548" i="4"/>
  <c r="L548" i="4" s="1"/>
  <c r="K407" i="4"/>
  <c r="J321" i="4"/>
  <c r="L321" i="4" s="1"/>
  <c r="K304" i="4"/>
  <c r="K303" i="4" s="1"/>
  <c r="J260" i="4"/>
  <c r="L260" i="4" s="1"/>
  <c r="J244" i="4"/>
  <c r="J243" i="4" s="1"/>
  <c r="J223" i="4"/>
  <c r="L223" i="4" s="1"/>
  <c r="K166" i="4"/>
  <c r="G133" i="4"/>
  <c r="G132" i="4" s="1"/>
  <c r="G131" i="4" s="1"/>
  <c r="G128" i="4" s="1"/>
  <c r="K120" i="4"/>
  <c r="K119" i="4" s="1"/>
  <c r="K118" i="4" s="1"/>
  <c r="K117" i="4" s="1"/>
  <c r="K93" i="4"/>
  <c r="J71" i="4"/>
  <c r="L71" i="4" s="1"/>
  <c r="J622" i="4"/>
  <c r="L622" i="4" s="1"/>
  <c r="K590" i="4"/>
  <c r="J453" i="4"/>
  <c r="J424" i="4"/>
  <c r="J277" i="4"/>
  <c r="L277" i="4" s="1"/>
  <c r="J141" i="4"/>
  <c r="J140" i="4" s="1"/>
  <c r="J139" i="4" s="1"/>
  <c r="J136" i="4" s="1"/>
  <c r="K44" i="4"/>
  <c r="Q183" i="1"/>
  <c r="R183" i="1" s="1"/>
  <c r="Q192" i="1"/>
  <c r="R192" i="1" s="1"/>
  <c r="K618" i="4"/>
  <c r="K617" i="4" s="1"/>
  <c r="K597" i="4"/>
  <c r="J595" i="4"/>
  <c r="L595" i="4" s="1"/>
  <c r="L557" i="4"/>
  <c r="K550" i="4"/>
  <c r="K548" i="4" s="1"/>
  <c r="K547" i="4" s="1"/>
  <c r="K546" i="4" s="1"/>
  <c r="J477" i="4"/>
  <c r="L477" i="4" s="1"/>
  <c r="K454" i="4"/>
  <c r="K453" i="4" s="1"/>
  <c r="K376" i="4"/>
  <c r="K278" i="4"/>
  <c r="K277" i="4" s="1"/>
  <c r="K276" i="4" s="1"/>
  <c r="K275" i="4" s="1"/>
  <c r="K142" i="4"/>
  <c r="K141" i="4" s="1"/>
  <c r="K140" i="4" s="1"/>
  <c r="K139" i="4" s="1"/>
  <c r="K136" i="4" s="1"/>
  <c r="K78" i="4"/>
  <c r="K77" i="4" s="1"/>
  <c r="K76" i="4" s="1"/>
  <c r="K75" i="4" s="1"/>
  <c r="K65" i="4"/>
  <c r="K48" i="4"/>
  <c r="K33" i="4"/>
  <c r="L328" i="4"/>
  <c r="Q111" i="1"/>
  <c r="R111" i="1" s="1"/>
  <c r="Q103" i="1"/>
  <c r="R103" i="1" s="1"/>
  <c r="Q112" i="1"/>
  <c r="R112" i="1" s="1"/>
  <c r="Q154" i="1"/>
  <c r="R154" i="1" s="1"/>
  <c r="I594" i="4"/>
  <c r="K328" i="4"/>
  <c r="K327" i="4" s="1"/>
  <c r="K326" i="4" s="1"/>
  <c r="K325" i="4" s="1"/>
  <c r="J283" i="4"/>
  <c r="L283" i="4" s="1"/>
  <c r="J204" i="4"/>
  <c r="J203" i="4" s="1"/>
  <c r="J177" i="4"/>
  <c r="J176" i="4" s="1"/>
  <c r="L176" i="4" s="1"/>
  <c r="J148" i="4"/>
  <c r="L148" i="4" s="1"/>
  <c r="J126" i="4"/>
  <c r="J125" i="4" s="1"/>
  <c r="J124" i="4" s="1"/>
  <c r="J83" i="4"/>
  <c r="L83" i="4" s="1"/>
  <c r="K17" i="4"/>
  <c r="K16" i="4" s="1"/>
  <c r="J99" i="4"/>
  <c r="L99" i="4" s="1"/>
  <c r="L620" i="4"/>
  <c r="L51" i="4"/>
  <c r="L84" i="4"/>
  <c r="L127" i="4"/>
  <c r="L340" i="4"/>
  <c r="H450" i="4"/>
  <c r="H449" i="4" s="1"/>
  <c r="L345" i="4"/>
  <c r="J305" i="4"/>
  <c r="K230" i="4"/>
  <c r="K229" i="4" s="1"/>
  <c r="K228" i="4" s="1"/>
  <c r="K227" i="4" s="1"/>
  <c r="J103" i="4"/>
  <c r="L103" i="4" s="1"/>
  <c r="K55" i="4"/>
  <c r="K50" i="4"/>
  <c r="K42" i="4"/>
  <c r="K31" i="4"/>
  <c r="L270" i="4"/>
  <c r="L22" i="4"/>
  <c r="L621" i="4"/>
  <c r="Q188" i="1"/>
  <c r="R188" i="1" s="1"/>
  <c r="Q101" i="1"/>
  <c r="R101" i="1" s="1"/>
  <c r="Q105" i="1"/>
  <c r="R105" i="1" s="1"/>
  <c r="Q185" i="1"/>
  <c r="R185" i="1" s="1"/>
  <c r="Q124" i="1"/>
  <c r="R124" i="1" s="1"/>
  <c r="Q147" i="1"/>
  <c r="R147" i="1" s="1"/>
  <c r="K284" i="4"/>
  <c r="K283" i="4" s="1"/>
  <c r="K282" i="4" s="1"/>
  <c r="K281" i="4" s="1"/>
  <c r="K205" i="4"/>
  <c r="K204" i="4" s="1"/>
  <c r="K203" i="4" s="1"/>
  <c r="K202" i="4" s="1"/>
  <c r="K193" i="4" s="1"/>
  <c r="K178" i="4"/>
  <c r="K177" i="4" s="1"/>
  <c r="K176" i="4" s="1"/>
  <c r="K175" i="4" s="1"/>
  <c r="K149" i="4"/>
  <c r="K148" i="4" s="1"/>
  <c r="K147" i="4" s="1"/>
  <c r="K146" i="4" s="1"/>
  <c r="K143" i="4" s="1"/>
  <c r="K64" i="4"/>
  <c r="J61" i="4"/>
  <c r="J60" i="4" s="1"/>
  <c r="J59" i="4" s="1"/>
  <c r="K38" i="4"/>
  <c r="J369" i="4"/>
  <c r="J368" i="4" s="1"/>
  <c r="K368" i="4" s="1"/>
  <c r="K366" i="4" s="1"/>
  <c r="K364" i="4" s="1"/>
  <c r="K363" i="4" s="1"/>
  <c r="H117" i="4"/>
  <c r="L25" i="4"/>
  <c r="K25" i="4"/>
  <c r="L49" i="4"/>
  <c r="K49" i="4"/>
  <c r="J90" i="4"/>
  <c r="L91" i="4"/>
  <c r="J106" i="4"/>
  <c r="L107" i="4"/>
  <c r="K157" i="4"/>
  <c r="L157" i="4"/>
  <c r="J156" i="4"/>
  <c r="L156" i="4" s="1"/>
  <c r="L168" i="4"/>
  <c r="K168" i="4"/>
  <c r="K212" i="4"/>
  <c r="K211" i="4" s="1"/>
  <c r="K210" i="4" s="1"/>
  <c r="K209" i="4" s="1"/>
  <c r="L212" i="4"/>
  <c r="L237" i="4"/>
  <c r="K237" i="4"/>
  <c r="L258" i="4"/>
  <c r="K258" i="4"/>
  <c r="K257" i="4" s="1"/>
  <c r="L416" i="4"/>
  <c r="J415" i="4"/>
  <c r="L415" i="4" s="1"/>
  <c r="K416" i="4"/>
  <c r="L571" i="4"/>
  <c r="J570" i="4"/>
  <c r="L592" i="4"/>
  <c r="J591" i="4"/>
  <c r="L591" i="4" s="1"/>
  <c r="K592" i="4"/>
  <c r="K591" i="4" s="1"/>
  <c r="J605" i="4"/>
  <c r="L605" i="4" s="1"/>
  <c r="L608" i="4"/>
  <c r="L619" i="4"/>
  <c r="J617" i="4"/>
  <c r="L617" i="4" s="1"/>
  <c r="K619" i="4"/>
  <c r="J211" i="4"/>
  <c r="L211" i="4" s="1"/>
  <c r="H222" i="4"/>
  <c r="H221" i="4" s="1"/>
  <c r="K91" i="4"/>
  <c r="L62" i="4"/>
  <c r="L15" i="4"/>
  <c r="K15" i="4"/>
  <c r="K14" i="4" s="1"/>
  <c r="J36" i="4"/>
  <c r="L36" i="4" s="1"/>
  <c r="L37" i="4"/>
  <c r="K46" i="4"/>
  <c r="K45" i="4" s="1"/>
  <c r="L46" i="4"/>
  <c r="J45" i="4"/>
  <c r="L45" i="4" s="1"/>
  <c r="L63" i="4"/>
  <c r="K63" i="4"/>
  <c r="L172" i="4"/>
  <c r="K172" i="4"/>
  <c r="L184" i="4"/>
  <c r="K184" i="4"/>
  <c r="K183" i="4" s="1"/>
  <c r="K182" i="4" s="1"/>
  <c r="K181" i="4" s="1"/>
  <c r="J183" i="4"/>
  <c r="L377" i="4"/>
  <c r="J375" i="4"/>
  <c r="K377" i="4"/>
  <c r="K375" i="4" s="1"/>
  <c r="K374" i="4" s="1"/>
  <c r="K373" i="4" s="1"/>
  <c r="L403" i="4"/>
  <c r="K404" i="4"/>
  <c r="L404" i="4"/>
  <c r="L431" i="4"/>
  <c r="J430" i="4"/>
  <c r="L430" i="4" s="1"/>
  <c r="L466" i="4"/>
  <c r="K466" i="4"/>
  <c r="K465" i="4" s="1"/>
  <c r="K464" i="4" s="1"/>
  <c r="K463" i="4" s="1"/>
  <c r="J488" i="4"/>
  <c r="L489" i="4"/>
  <c r="K541" i="4"/>
  <c r="K540" i="4" s="1"/>
  <c r="K539" i="4" s="1"/>
  <c r="K538" i="4" s="1"/>
  <c r="J540" i="4"/>
  <c r="L540" i="4" s="1"/>
  <c r="L541" i="4"/>
  <c r="L586" i="4"/>
  <c r="J585" i="4"/>
  <c r="L585" i="4" s="1"/>
  <c r="K586" i="4"/>
  <c r="K585" i="4" s="1"/>
  <c r="K599" i="4"/>
  <c r="K598" i="4" s="1"/>
  <c r="L599" i="4"/>
  <c r="L627" i="4"/>
  <c r="K627" i="4"/>
  <c r="K626" i="4" s="1"/>
  <c r="K625" i="4" s="1"/>
  <c r="J626" i="4"/>
  <c r="J14" i="4"/>
  <c r="L14" i="4" s="1"/>
  <c r="J164" i="4"/>
  <c r="L164" i="4" s="1"/>
  <c r="J338" i="4"/>
  <c r="L338" i="4" s="1"/>
  <c r="L339" i="4"/>
  <c r="H390" i="4"/>
  <c r="H389" i="4" s="1"/>
  <c r="J257" i="4"/>
  <c r="L257" i="4" s="1"/>
  <c r="K107" i="4"/>
  <c r="K106" i="4" s="1"/>
  <c r="K105" i="4" s="1"/>
  <c r="K114" i="4"/>
  <c r="K113" i="4" s="1"/>
  <c r="K112" i="4" s="1"/>
  <c r="K111" i="4" s="1"/>
  <c r="K72" i="4"/>
  <c r="K71" i="4" s="1"/>
  <c r="K70" i="4" s="1"/>
  <c r="K69" i="4" s="1"/>
  <c r="J53" i="4"/>
  <c r="L53" i="4" s="1"/>
  <c r="J47" i="4"/>
  <c r="L47" i="4" s="1"/>
  <c r="K34" i="4"/>
  <c r="J16" i="4"/>
  <c r="L16" i="4" s="1"/>
  <c r="J21" i="4"/>
  <c r="L21" i="4" s="1"/>
  <c r="J198" i="4"/>
  <c r="L199" i="4"/>
  <c r="K346" i="4"/>
  <c r="K345" i="4" s="1"/>
  <c r="K344" i="4" s="1"/>
  <c r="K343" i="4" s="1"/>
  <c r="L346" i="4"/>
  <c r="L385" i="4"/>
  <c r="J384" i="4"/>
  <c r="L384" i="4" s="1"/>
  <c r="L39" i="4"/>
  <c r="L218" i="4"/>
  <c r="L259" i="4"/>
  <c r="K191" i="4"/>
  <c r="K190" i="4" s="1"/>
  <c r="K189" i="4" s="1"/>
  <c r="K188" i="4" s="1"/>
  <c r="K185" i="4" s="1"/>
  <c r="L191" i="4"/>
  <c r="J236" i="4"/>
  <c r="J235" i="4" s="1"/>
  <c r="L40" i="4"/>
  <c r="L490" i="4"/>
  <c r="J471" i="4"/>
  <c r="J382" i="4"/>
  <c r="Q189" i="1"/>
  <c r="R189" i="1" s="1"/>
  <c r="K417" i="4"/>
  <c r="K409" i="4"/>
  <c r="K360" i="4"/>
  <c r="K359" i="4" s="1"/>
  <c r="J326" i="4"/>
  <c r="L326" i="4" s="1"/>
  <c r="L327" i="4"/>
  <c r="J296" i="4"/>
  <c r="L296" i="4" s="1"/>
  <c r="J217" i="4"/>
  <c r="J216" i="4" s="1"/>
  <c r="J215" i="4" s="1"/>
  <c r="L215" i="4" s="1"/>
  <c r="L190" i="4"/>
  <c r="K24" i="4"/>
  <c r="J251" i="4"/>
  <c r="L252" i="4"/>
  <c r="K262" i="4"/>
  <c r="L262" i="4"/>
  <c r="J351" i="4"/>
  <c r="L352" i="4"/>
  <c r="K398" i="4"/>
  <c r="K397" i="4" s="1"/>
  <c r="K396" i="4" s="1"/>
  <c r="K395" i="4" s="1"/>
  <c r="L398" i="4"/>
  <c r="H594" i="4"/>
  <c r="L19" i="4"/>
  <c r="L54" i="4"/>
  <c r="L43" i="4"/>
  <c r="L32" i="4"/>
  <c r="L169" i="4"/>
  <c r="L268" i="4"/>
  <c r="J290" i="4"/>
  <c r="L291" i="4"/>
  <c r="L269" i="4"/>
  <c r="L66" i="4"/>
  <c r="K238" i="4"/>
  <c r="L238" i="4"/>
  <c r="K497" i="4"/>
  <c r="K496" i="4" s="1"/>
  <c r="J496" i="4"/>
  <c r="J495" i="4" s="1"/>
  <c r="L495" i="4" s="1"/>
  <c r="K271" i="4"/>
  <c r="K270" i="4" s="1"/>
  <c r="L271" i="4"/>
  <c r="I363" i="4"/>
  <c r="K41" i="4"/>
  <c r="J30" i="4"/>
  <c r="L30" i="4" s="1"/>
  <c r="K23" i="4"/>
  <c r="H429" i="4"/>
  <c r="H428" i="4" s="1"/>
  <c r="I302" i="4"/>
  <c r="I301" i="4" s="1"/>
  <c r="I604" i="4"/>
  <c r="I603" i="4" s="1"/>
  <c r="G108" i="4"/>
  <c r="G272" i="4"/>
  <c r="I98" i="4"/>
  <c r="I97" i="4" s="1"/>
  <c r="I94" i="4" s="1"/>
  <c r="G415" i="4"/>
  <c r="G414" i="4" s="1"/>
  <c r="G413" i="4" s="1"/>
  <c r="G47" i="4"/>
  <c r="F616" i="4"/>
  <c r="F615" i="4" s="1"/>
  <c r="F612" i="4" s="1"/>
  <c r="H616" i="4"/>
  <c r="H421" i="4"/>
  <c r="H420" i="4" s="1"/>
  <c r="H514" i="4"/>
  <c r="H513" i="4" s="1"/>
  <c r="G375" i="4"/>
  <c r="G374" i="4" s="1"/>
  <c r="G373" i="4" s="1"/>
  <c r="F272" i="4"/>
  <c r="F164" i="4"/>
  <c r="F163" i="4" s="1"/>
  <c r="F156" i="4" s="1"/>
  <c r="F155" i="4" s="1"/>
  <c r="F154" i="4" s="1"/>
  <c r="F150" i="4" s="1"/>
  <c r="I76" i="4"/>
  <c r="I75" i="4" s="1"/>
  <c r="H60" i="4"/>
  <c r="H59" i="4" s="1"/>
  <c r="G403" i="4"/>
  <c r="G402" i="4" s="1"/>
  <c r="G401" i="4" s="1"/>
  <c r="F356" i="4"/>
  <c r="F355" i="4" s="1"/>
  <c r="G356" i="4"/>
  <c r="G355" i="4" s="1"/>
  <c r="I176" i="4"/>
  <c r="I175" i="4" s="1"/>
  <c r="H381" i="4"/>
  <c r="H380" i="4" s="1"/>
  <c r="H363" i="4"/>
  <c r="H140" i="4"/>
  <c r="H112" i="4"/>
  <c r="H111" i="4" s="1"/>
  <c r="I272" i="4"/>
  <c r="G164" i="4"/>
  <c r="G163" i="4" s="1"/>
  <c r="G156" i="4" s="1"/>
  <c r="G155" i="4" s="1"/>
  <c r="G154" i="4" s="1"/>
  <c r="G150" i="4" s="1"/>
  <c r="I267" i="4"/>
  <c r="I266" i="4" s="1"/>
  <c r="F29" i="4"/>
  <c r="F28" i="4" s="1"/>
  <c r="G502" i="4"/>
  <c r="G501" i="4" s="1"/>
  <c r="G500" i="4" s="1"/>
  <c r="I163" i="4"/>
  <c r="I162" i="4" s="1"/>
  <c r="F604" i="4"/>
  <c r="F603" i="4" s="1"/>
  <c r="H547" i="4"/>
  <c r="H546" i="4" s="1"/>
  <c r="I514" i="4"/>
  <c r="I513" i="4" s="1"/>
  <c r="G450" i="4"/>
  <c r="G449" i="4" s="1"/>
  <c r="F302" i="4"/>
  <c r="F301" i="4" s="1"/>
  <c r="F256" i="4"/>
  <c r="F255" i="4" s="1"/>
  <c r="F246" i="4" s="1"/>
  <c r="I182" i="4"/>
  <c r="I181" i="4" s="1"/>
  <c r="E29" i="4"/>
  <c r="E28" i="4" s="1"/>
  <c r="E9" i="4" s="1"/>
  <c r="F13" i="4"/>
  <c r="F12" i="4" s="1"/>
  <c r="F594" i="4"/>
  <c r="H539" i="4"/>
  <c r="H538" i="4" s="1"/>
  <c r="I356" i="4"/>
  <c r="I355" i="4" s="1"/>
  <c r="H189" i="4"/>
  <c r="H188" i="4" s="1"/>
  <c r="H185" i="4" s="1"/>
  <c r="I414" i="4"/>
  <c r="I413" i="4" s="1"/>
  <c r="I289" i="4"/>
  <c r="I288" i="4" s="1"/>
  <c r="I197" i="4"/>
  <c r="I196" i="4" s="1"/>
  <c r="I193" i="4" s="1"/>
  <c r="F98" i="4"/>
  <c r="F97" i="4" s="1"/>
  <c r="F94" i="4" s="1"/>
  <c r="G30" i="4"/>
  <c r="H604" i="4"/>
  <c r="H603" i="4" s="1"/>
  <c r="F584" i="4"/>
  <c r="I476" i="4"/>
  <c r="I475" i="4" s="1"/>
  <c r="G61" i="4"/>
  <c r="G60" i="4" s="1"/>
  <c r="G59" i="4" s="1"/>
  <c r="G36" i="4"/>
  <c r="H476" i="4"/>
  <c r="H475" i="4" s="1"/>
  <c r="H356" i="4"/>
  <c r="H355" i="4" s="1"/>
  <c r="F309" i="4"/>
  <c r="J267" i="4"/>
  <c r="F267" i="4"/>
  <c r="F266" i="4" s="1"/>
  <c r="F263" i="4" s="1"/>
  <c r="G236" i="4"/>
  <c r="G235" i="4" s="1"/>
  <c r="G234" i="4" s="1"/>
  <c r="G206" i="4" s="1"/>
  <c r="K102" i="4"/>
  <c r="K101" i="4" s="1"/>
  <c r="I29" i="4"/>
  <c r="I13" i="4"/>
  <c r="I12" i="4" s="1"/>
  <c r="G311" i="4"/>
  <c r="G310" i="4" s="1"/>
  <c r="G309" i="4" s="1"/>
  <c r="H285" i="4"/>
  <c r="G260" i="4"/>
  <c r="H256" i="4"/>
  <c r="H255" i="4" s="1"/>
  <c r="H246" i="4" s="1"/>
  <c r="H29" i="4"/>
  <c r="H28" i="4" s="1"/>
  <c r="H13" i="4"/>
  <c r="G604" i="4"/>
  <c r="G603" i="4" s="1"/>
  <c r="G594" i="4"/>
  <c r="G584" i="4"/>
  <c r="I539" i="4"/>
  <c r="I421" i="4"/>
  <c r="G616" i="4"/>
  <c r="G615" i="4" s="1"/>
  <c r="G612" i="4" s="1"/>
  <c r="I470" i="4"/>
  <c r="I458" i="4"/>
  <c r="L459" i="4"/>
  <c r="I429" i="4"/>
  <c r="I390" i="4"/>
  <c r="F386" i="4"/>
  <c r="I332" i="4"/>
  <c r="I486" i="4"/>
  <c r="I373" i="4"/>
  <c r="I349" i="4"/>
  <c r="G302" i="4"/>
  <c r="G301" i="4" s="1"/>
  <c r="H625" i="4"/>
  <c r="I616" i="4"/>
  <c r="I584" i="4"/>
  <c r="I554" i="4"/>
  <c r="H502" i="4"/>
  <c r="H501" i="4" s="1"/>
  <c r="H500" i="4" s="1"/>
  <c r="J344" i="4"/>
  <c r="L344" i="4" s="1"/>
  <c r="I309" i="4"/>
  <c r="G267" i="4"/>
  <c r="G266" i="4" s="1"/>
  <c r="G263" i="4" s="1"/>
  <c r="F206" i="4"/>
  <c r="E605" i="4"/>
  <c r="H584" i="4"/>
  <c r="H375" i="4"/>
  <c r="H374" i="4" s="1"/>
  <c r="H373" i="4" s="1"/>
  <c r="I325" i="4"/>
  <c r="H314" i="4"/>
  <c r="L314" i="4" s="1"/>
  <c r="L315" i="4"/>
  <c r="H310" i="4"/>
  <c r="G285" i="4"/>
  <c r="I450" i="4"/>
  <c r="I402" i="4"/>
  <c r="I344" i="4"/>
  <c r="I320" i="4"/>
  <c r="H302" i="4"/>
  <c r="H301" i="4" s="1"/>
  <c r="I295" i="4"/>
  <c r="H267" i="4"/>
  <c r="H266" i="4" s="1"/>
  <c r="H263" i="4" s="1"/>
  <c r="H155" i="4"/>
  <c r="H154" i="4" s="1"/>
  <c r="J365" i="4"/>
  <c r="L365" i="4" s="1"/>
  <c r="H282" i="4"/>
  <c r="H276" i="4"/>
  <c r="F285" i="4"/>
  <c r="I228" i="4"/>
  <c r="I210" i="4"/>
  <c r="I133" i="4"/>
  <c r="G257" i="4"/>
  <c r="I256" i="4"/>
  <c r="I250" i="4"/>
  <c r="I242" i="4"/>
  <c r="I221" i="4"/>
  <c r="H197" i="4"/>
  <c r="H182" i="4"/>
  <c r="H175" i="4"/>
  <c r="I143" i="4"/>
  <c r="I52" i="4"/>
  <c r="I188" i="4"/>
  <c r="I154" i="4"/>
  <c r="I69" i="4"/>
  <c r="I140" i="4"/>
  <c r="I118" i="4"/>
  <c r="I112" i="4"/>
  <c r="F108" i="4"/>
  <c r="H147" i="4"/>
  <c r="H146" i="4" s="1"/>
  <c r="H143" i="4" s="1"/>
  <c r="H125" i="4"/>
  <c r="H124" i="4" s="1"/>
  <c r="H121" i="4" s="1"/>
  <c r="G98" i="4"/>
  <c r="G97" i="4" s="1"/>
  <c r="G94" i="4" s="1"/>
  <c r="G13" i="4"/>
  <c r="I89" i="4"/>
  <c r="G53" i="4"/>
  <c r="G52" i="4" s="1"/>
  <c r="H98" i="4"/>
  <c r="H97" i="4" s="1"/>
  <c r="H94" i="4" s="1"/>
  <c r="G90" i="4"/>
  <c r="G89" i="4" s="1"/>
  <c r="G88" i="4" s="1"/>
  <c r="G85" i="4" s="1"/>
  <c r="I81" i="4"/>
  <c r="I59" i="4"/>
  <c r="H20" i="4"/>
  <c r="G21" i="4"/>
  <c r="G20" i="4" s="1"/>
  <c r="P110" i="1"/>
  <c r="O110" i="1"/>
  <c r="P194" i="1"/>
  <c r="O194" i="1"/>
  <c r="O170" i="1"/>
  <c r="P126" i="1"/>
  <c r="P120" i="1"/>
  <c r="P118" i="1"/>
  <c r="P117" i="1"/>
  <c r="P116" i="1"/>
  <c r="P115" i="1"/>
  <c r="P114" i="1"/>
  <c r="P109" i="1"/>
  <c r="O114" i="1"/>
  <c r="P155" i="1"/>
  <c r="O155" i="1"/>
  <c r="K616" i="4" l="1"/>
  <c r="K494" i="4"/>
  <c r="K493" i="4" s="1"/>
  <c r="K495" i="4"/>
  <c r="F440" i="4"/>
  <c r="L465" i="4"/>
  <c r="H440" i="4"/>
  <c r="J502" i="4"/>
  <c r="J501" i="4" s="1"/>
  <c r="H386" i="4"/>
  <c r="L503" i="4"/>
  <c r="J396" i="4"/>
  <c r="J395" i="4" s="1"/>
  <c r="L393" i="4" s="1"/>
  <c r="K503" i="4"/>
  <c r="K502" i="4" s="1"/>
  <c r="K501" i="4" s="1"/>
  <c r="K500" i="4" s="1"/>
  <c r="K450" i="4"/>
  <c r="K449" i="4" s="1"/>
  <c r="L235" i="4"/>
  <c r="H206" i="4"/>
  <c r="L119" i="4"/>
  <c r="Q115" i="1"/>
  <c r="R115" i="1" s="1"/>
  <c r="L527" i="4"/>
  <c r="J70" i="4"/>
  <c r="J69" i="4" s="1"/>
  <c r="L67" i="4" s="1"/>
  <c r="L532" i="4"/>
  <c r="J163" i="4"/>
  <c r="L163" i="4" s="1"/>
  <c r="Q114" i="1"/>
  <c r="R114" i="1" s="1"/>
  <c r="L522" i="4"/>
  <c r="L521" i="4" s="1"/>
  <c r="K311" i="4"/>
  <c r="K310" i="4" s="1"/>
  <c r="K309" i="4" s="1"/>
  <c r="J421" i="4"/>
  <c r="J420" i="4" s="1"/>
  <c r="L418" i="4" s="1"/>
  <c r="J228" i="4"/>
  <c r="L228" i="4" s="1"/>
  <c r="L424" i="4"/>
  <c r="L113" i="4"/>
  <c r="J337" i="4"/>
  <c r="L335" i="4" s="1"/>
  <c r="K260" i="4"/>
  <c r="K256" i="4" s="1"/>
  <c r="K255" i="4" s="1"/>
  <c r="K246" i="4" s="1"/>
  <c r="L118" i="4"/>
  <c r="L391" i="4"/>
  <c r="L115" i="4"/>
  <c r="K156" i="4"/>
  <c r="K155" i="4" s="1"/>
  <c r="K154" i="4" s="1"/>
  <c r="K604" i="4"/>
  <c r="K603" i="4" s="1"/>
  <c r="K267" i="4"/>
  <c r="K266" i="4" s="1"/>
  <c r="K263" i="4" s="1"/>
  <c r="L387" i="4"/>
  <c r="J594" i="4"/>
  <c r="L594" i="4" s="1"/>
  <c r="K61" i="4"/>
  <c r="K60" i="4" s="1"/>
  <c r="K59" i="4" s="1"/>
  <c r="K272" i="4"/>
  <c r="K356" i="4"/>
  <c r="K355" i="4" s="1"/>
  <c r="L141" i="4"/>
  <c r="J450" i="4"/>
  <c r="L450" i="4" s="1"/>
  <c r="K98" i="4"/>
  <c r="K97" i="4" s="1"/>
  <c r="K94" i="4" s="1"/>
  <c r="J295" i="4"/>
  <c r="J294" i="4" s="1"/>
  <c r="L292" i="4" s="1"/>
  <c r="L577" i="4"/>
  <c r="K90" i="4"/>
  <c r="K89" i="4" s="1"/>
  <c r="K88" i="4" s="1"/>
  <c r="K85" i="4" s="1"/>
  <c r="J210" i="4"/>
  <c r="L210" i="4" s="1"/>
  <c r="H583" i="4"/>
  <c r="H580" i="4" s="1"/>
  <c r="J302" i="4"/>
  <c r="L302" i="4" s="1"/>
  <c r="L305" i="4"/>
  <c r="L453" i="4"/>
  <c r="J414" i="4"/>
  <c r="L414" i="4" s="1"/>
  <c r="J320" i="4"/>
  <c r="L320" i="4" s="1"/>
  <c r="J463" i="4"/>
  <c r="K236" i="4"/>
  <c r="K235" i="4" s="1"/>
  <c r="K234" i="4" s="1"/>
  <c r="K206" i="4" s="1"/>
  <c r="K47" i="4"/>
  <c r="J175" i="4"/>
  <c r="L173" i="4" s="1"/>
  <c r="J222" i="4"/>
  <c r="J221" i="4" s="1"/>
  <c r="L221" i="4" s="1"/>
  <c r="L177" i="4"/>
  <c r="L204" i="4"/>
  <c r="J75" i="4"/>
  <c r="L73" i="4" s="1"/>
  <c r="J584" i="4"/>
  <c r="L77" i="4"/>
  <c r="J547" i="4"/>
  <c r="L547" i="4" s="1"/>
  <c r="J356" i="4"/>
  <c r="J355" i="4" s="1"/>
  <c r="L353" i="4" s="1"/>
  <c r="L333" i="4"/>
  <c r="K164" i="4"/>
  <c r="K163" i="4" s="1"/>
  <c r="K162" i="4" s="1"/>
  <c r="K594" i="4"/>
  <c r="K302" i="4"/>
  <c r="K301" i="4" s="1"/>
  <c r="J554" i="4"/>
  <c r="J553" i="4" s="1"/>
  <c r="L553" i="4" s="1"/>
  <c r="K30" i="4"/>
  <c r="L124" i="4"/>
  <c r="K108" i="4"/>
  <c r="J476" i="4"/>
  <c r="K36" i="4"/>
  <c r="J310" i="4"/>
  <c r="J309" i="4" s="1"/>
  <c r="J256" i="4"/>
  <c r="J255" i="4" s="1"/>
  <c r="L253" i="4" s="1"/>
  <c r="K584" i="4"/>
  <c r="K415" i="4"/>
  <c r="K414" i="4" s="1"/>
  <c r="K413" i="4" s="1"/>
  <c r="G256" i="4"/>
  <c r="G255" i="4" s="1"/>
  <c r="G246" i="4" s="1"/>
  <c r="J276" i="4"/>
  <c r="J275" i="4" s="1"/>
  <c r="J363" i="4"/>
  <c r="L363" i="4" s="1"/>
  <c r="J147" i="4"/>
  <c r="J146" i="4" s="1"/>
  <c r="L144" i="4" s="1"/>
  <c r="L244" i="4"/>
  <c r="K13" i="4"/>
  <c r="K53" i="4"/>
  <c r="K52" i="4" s="1"/>
  <c r="L243" i="4"/>
  <c r="J242" i="4"/>
  <c r="L242" i="4" s="1"/>
  <c r="J282" i="4"/>
  <c r="L282" i="4" s="1"/>
  <c r="Q155" i="1"/>
  <c r="R155" i="1" s="1"/>
  <c r="Q110" i="1"/>
  <c r="R110" i="1" s="1"/>
  <c r="H108" i="4"/>
  <c r="J514" i="4"/>
  <c r="J513" i="4" s="1"/>
  <c r="K21" i="4"/>
  <c r="K20" i="4" s="1"/>
  <c r="L61" i="4"/>
  <c r="L576" i="4"/>
  <c r="R125" i="1"/>
  <c r="F583" i="4"/>
  <c r="F580" i="4" s="1"/>
  <c r="J13" i="4"/>
  <c r="L13" i="4" s="1"/>
  <c r="L390" i="4"/>
  <c r="L126" i="4"/>
  <c r="J189" i="4"/>
  <c r="L189" i="4" s="1"/>
  <c r="J82" i="4"/>
  <c r="L82" i="4" s="1"/>
  <c r="L125" i="4"/>
  <c r="K403" i="4"/>
  <c r="K402" i="4" s="1"/>
  <c r="K401" i="4" s="1"/>
  <c r="J202" i="4"/>
  <c r="L200" i="4" s="1"/>
  <c r="L203" i="4"/>
  <c r="Q194" i="1"/>
  <c r="R194" i="1" s="1"/>
  <c r="L368" i="4"/>
  <c r="L369" i="4"/>
  <c r="J289" i="4"/>
  <c r="L290" i="4"/>
  <c r="J569" i="4"/>
  <c r="L570" i="4"/>
  <c r="L57" i="4"/>
  <c r="J105" i="4"/>
  <c r="L105" i="4" s="1"/>
  <c r="L106" i="4"/>
  <c r="J29" i="4"/>
  <c r="L29" i="4" s="1"/>
  <c r="J234" i="4"/>
  <c r="L234" i="4" s="1"/>
  <c r="J604" i="4"/>
  <c r="H139" i="4"/>
  <c r="L140" i="4"/>
  <c r="K615" i="4"/>
  <c r="K612" i="4" s="1"/>
  <c r="L216" i="4"/>
  <c r="L236" i="4"/>
  <c r="J111" i="4"/>
  <c r="L112" i="4"/>
  <c r="L488" i="4"/>
  <c r="J487" i="4"/>
  <c r="J470" i="4"/>
  <c r="L471" i="4"/>
  <c r="J20" i="4"/>
  <c r="L20" i="4" s="1"/>
  <c r="L382" i="4"/>
  <c r="J381" i="4"/>
  <c r="L381" i="4" s="1"/>
  <c r="J331" i="4"/>
  <c r="L329" i="4" s="1"/>
  <c r="L332" i="4"/>
  <c r="J182" i="4"/>
  <c r="L183" i="4"/>
  <c r="J52" i="4"/>
  <c r="L52" i="4" s="1"/>
  <c r="J539" i="4"/>
  <c r="L539" i="4" s="1"/>
  <c r="J402" i="4"/>
  <c r="L402" i="4" s="1"/>
  <c r="J325" i="4"/>
  <c r="L323" i="4" s="1"/>
  <c r="J616" i="4"/>
  <c r="L616" i="4" s="1"/>
  <c r="J429" i="4"/>
  <c r="J155" i="4"/>
  <c r="J154" i="4" s="1"/>
  <c r="L154" i="4" s="1"/>
  <c r="G386" i="4"/>
  <c r="L217" i="4"/>
  <c r="J350" i="4"/>
  <c r="L351" i="4"/>
  <c r="J250" i="4"/>
  <c r="L251" i="4"/>
  <c r="J197" i="4"/>
  <c r="L198" i="4"/>
  <c r="J625" i="4"/>
  <c r="L625" i="4" s="1"/>
  <c r="L626" i="4"/>
  <c r="J374" i="4"/>
  <c r="L375" i="4"/>
  <c r="L60" i="4"/>
  <c r="J89" i="4"/>
  <c r="L90" i="4"/>
  <c r="J494" i="4"/>
  <c r="L496" i="4"/>
  <c r="J266" i="4"/>
  <c r="L264" i="4" s="1"/>
  <c r="L267" i="4"/>
  <c r="F9" i="4"/>
  <c r="J101" i="4"/>
  <c r="G29" i="4"/>
  <c r="G28" i="4" s="1"/>
  <c r="I28" i="4"/>
  <c r="F298" i="4"/>
  <c r="H12" i="4"/>
  <c r="H9" i="4" s="1"/>
  <c r="G440" i="4"/>
  <c r="G298" i="4"/>
  <c r="G12" i="4"/>
  <c r="I88" i="4"/>
  <c r="J121" i="4"/>
  <c r="L121" i="4" s="1"/>
  <c r="I132" i="4"/>
  <c r="I343" i="4"/>
  <c r="I401" i="4"/>
  <c r="I449" i="4"/>
  <c r="I263" i="4"/>
  <c r="I615" i="4"/>
  <c r="I331" i="4"/>
  <c r="I538" i="4"/>
  <c r="I139" i="4"/>
  <c r="I185" i="4"/>
  <c r="I249" i="4"/>
  <c r="I553" i="4"/>
  <c r="H615" i="4"/>
  <c r="H612" i="4" s="1"/>
  <c r="H181" i="4"/>
  <c r="I239" i="4"/>
  <c r="I227" i="4"/>
  <c r="I117" i="4"/>
  <c r="H196" i="4"/>
  <c r="H193" i="4" s="1"/>
  <c r="I255" i="4"/>
  <c r="H281" i="4"/>
  <c r="I294" i="4"/>
  <c r="I319" i="4"/>
  <c r="J343" i="4"/>
  <c r="L341" i="4" s="1"/>
  <c r="I583" i="4"/>
  <c r="I389" i="4"/>
  <c r="I420" i="4"/>
  <c r="I111" i="4"/>
  <c r="I150" i="4"/>
  <c r="I209" i="4"/>
  <c r="H275" i="4"/>
  <c r="H309" i="4"/>
  <c r="I428" i="4"/>
  <c r="I457" i="4"/>
  <c r="L455" i="4" s="1"/>
  <c r="L458" i="4"/>
  <c r="I469" i="4"/>
  <c r="G583" i="4"/>
  <c r="G580" i="4" s="1"/>
  <c r="P113" i="1"/>
  <c r="P108" i="1"/>
  <c r="J475" i="4" l="1"/>
  <c r="L473" i="4" s="1"/>
  <c r="L502" i="4"/>
  <c r="I440" i="4"/>
  <c r="L396" i="4"/>
  <c r="I386" i="4"/>
  <c r="K440" i="4"/>
  <c r="L461" i="4"/>
  <c r="J162" i="4"/>
  <c r="L160" i="4" s="1"/>
  <c r="L222" i="4"/>
  <c r="L70" i="4"/>
  <c r="L421" i="4"/>
  <c r="L256" i="4"/>
  <c r="L511" i="4"/>
  <c r="K150" i="4"/>
  <c r="J449" i="4"/>
  <c r="L447" i="4" s="1"/>
  <c r="L295" i="4"/>
  <c r="J209" i="4"/>
  <c r="L209" i="4" s="1"/>
  <c r="J227" i="4"/>
  <c r="L225" i="4" s="1"/>
  <c r="J281" i="4"/>
  <c r="L279" i="4" s="1"/>
  <c r="L276" i="4"/>
  <c r="J583" i="4"/>
  <c r="L581" i="4" s="1"/>
  <c r="K12" i="4"/>
  <c r="K29" i="4"/>
  <c r="K28" i="4" s="1"/>
  <c r="L584" i="4"/>
  <c r="L554" i="4"/>
  <c r="J615" i="4"/>
  <c r="L613" i="4" s="1"/>
  <c r="K298" i="4"/>
  <c r="J301" i="4"/>
  <c r="L299" i="4" s="1"/>
  <c r="K583" i="4"/>
  <c r="K580" i="4" s="1"/>
  <c r="L356" i="4"/>
  <c r="L147" i="4"/>
  <c r="J143" i="4"/>
  <c r="L143" i="4" s="1"/>
  <c r="J413" i="4"/>
  <c r="L411" i="4" s="1"/>
  <c r="J319" i="4"/>
  <c r="L317" i="4" s="1"/>
  <c r="J546" i="4"/>
  <c r="L544" i="4" s="1"/>
  <c r="L514" i="4"/>
  <c r="L476" i="4"/>
  <c r="J188" i="4"/>
  <c r="L186" i="4" s="1"/>
  <c r="J239" i="4"/>
  <c r="L239" i="4" s="1"/>
  <c r="J12" i="4"/>
  <c r="L10" i="4" s="1"/>
  <c r="L310" i="4"/>
  <c r="J263" i="4"/>
  <c r="L263" i="4" s="1"/>
  <c r="J538" i="4"/>
  <c r="L536" i="4" s="1"/>
  <c r="K386" i="4"/>
  <c r="J380" i="4"/>
  <c r="L380" i="4" s="1"/>
  <c r="J401" i="4"/>
  <c r="L399" i="4" s="1"/>
  <c r="J81" i="4"/>
  <c r="L79" i="4" s="1"/>
  <c r="F641" i="4"/>
  <c r="F8" i="4" s="1"/>
  <c r="F7" i="4" s="1"/>
  <c r="L273" i="4"/>
  <c r="J500" i="4"/>
  <c r="L501" i="4"/>
  <c r="J469" i="4"/>
  <c r="L467" i="4" s="1"/>
  <c r="L470" i="4"/>
  <c r="L350" i="4"/>
  <c r="J349" i="4"/>
  <c r="L347" i="4" s="1"/>
  <c r="L155" i="4"/>
  <c r="J373" i="4"/>
  <c r="L373" i="4" s="1"/>
  <c r="L374" i="4"/>
  <c r="J428" i="4"/>
  <c r="L428" i="4" s="1"/>
  <c r="L429" i="4"/>
  <c r="J181" i="4"/>
  <c r="L179" i="4" s="1"/>
  <c r="L182" i="4"/>
  <c r="L111" i="4"/>
  <c r="J108" i="4"/>
  <c r="L108" i="4" s="1"/>
  <c r="J603" i="4"/>
  <c r="L601" i="4" s="1"/>
  <c r="L604" i="4"/>
  <c r="J196" i="4"/>
  <c r="J193" i="4" s="1"/>
  <c r="L193" i="4" s="1"/>
  <c r="L197" i="4"/>
  <c r="H136" i="4"/>
  <c r="L136" i="4" s="1"/>
  <c r="L137" i="4"/>
  <c r="L289" i="4"/>
  <c r="J288" i="4"/>
  <c r="L307" i="4"/>
  <c r="J28" i="4"/>
  <c r="L26" i="4" s="1"/>
  <c r="J98" i="4"/>
  <c r="L101" i="4"/>
  <c r="L89" i="4"/>
  <c r="J88" i="4"/>
  <c r="L250" i="4"/>
  <c r="J249" i="4"/>
  <c r="J486" i="4"/>
  <c r="L484" i="4" s="1"/>
  <c r="L487" i="4"/>
  <c r="J568" i="4"/>
  <c r="J565" i="4" s="1"/>
  <c r="L565" i="4" s="1"/>
  <c r="L569" i="4"/>
  <c r="L494" i="4"/>
  <c r="J493" i="4"/>
  <c r="L491" i="4" s="1"/>
  <c r="I206" i="4"/>
  <c r="I9" i="4"/>
  <c r="G9" i="4"/>
  <c r="G641" i="4" s="1"/>
  <c r="G8" i="4" s="1"/>
  <c r="G7" i="4" s="1"/>
  <c r="I298" i="4"/>
  <c r="H272" i="4"/>
  <c r="I136" i="4"/>
  <c r="H298" i="4"/>
  <c r="I131" i="4"/>
  <c r="I580" i="4"/>
  <c r="H150" i="4"/>
  <c r="I246" i="4"/>
  <c r="I108" i="4"/>
  <c r="I85" i="4"/>
  <c r="I285" i="4"/>
  <c r="J133" i="4"/>
  <c r="L133" i="4" s="1"/>
  <c r="K134" i="4"/>
  <c r="K133" i="4" s="1"/>
  <c r="K132" i="4" s="1"/>
  <c r="K131" i="4" s="1"/>
  <c r="K128" i="4" s="1"/>
  <c r="I612" i="4"/>
  <c r="Q218" i="1"/>
  <c r="Q217" i="1" s="1"/>
  <c r="Q211" i="1"/>
  <c r="Q209" i="1"/>
  <c r="Q206" i="1"/>
  <c r="Q205" i="1" s="1"/>
  <c r="Q202" i="1"/>
  <c r="Q201" i="1" s="1"/>
  <c r="Q199" i="1"/>
  <c r="Q198" i="1" s="1"/>
  <c r="Q193" i="1"/>
  <c r="Q167" i="1"/>
  <c r="Q164" i="1"/>
  <c r="Q138" i="1"/>
  <c r="Q102" i="1"/>
  <c r="Q100" i="1"/>
  <c r="Q95" i="1"/>
  <c r="Q92" i="1"/>
  <c r="Q89" i="1"/>
  <c r="Q84" i="1"/>
  <c r="Q80" i="1"/>
  <c r="Q76" i="1"/>
  <c r="Q68" i="1"/>
  <c r="Q65" i="1"/>
  <c r="Q61" i="1"/>
  <c r="Q55" i="1"/>
  <c r="Q51" i="1"/>
  <c r="Q48" i="1"/>
  <c r="Q40" i="1"/>
  <c r="L500" i="4" l="1"/>
  <c r="J440" i="4"/>
  <c r="L440" i="4" s="1"/>
  <c r="J386" i="4"/>
  <c r="L386" i="4" s="1"/>
  <c r="J272" i="4"/>
  <c r="L272" i="4" s="1"/>
  <c r="J206" i="4"/>
  <c r="L206" i="4" s="1"/>
  <c r="J612" i="4"/>
  <c r="L612" i="4" s="1"/>
  <c r="K9" i="4"/>
  <c r="K641" i="4" s="1"/>
  <c r="K8" i="4" s="1"/>
  <c r="K7" i="4" s="1"/>
  <c r="J185" i="4"/>
  <c r="L185" i="4" s="1"/>
  <c r="J9" i="4"/>
  <c r="L286" i="4"/>
  <c r="J285" i="4"/>
  <c r="L285" i="4" s="1"/>
  <c r="L86" i="4"/>
  <c r="J85" i="4"/>
  <c r="L85" i="4" s="1"/>
  <c r="L568" i="4"/>
  <c r="J97" i="4"/>
  <c r="L98" i="4"/>
  <c r="L194" i="4"/>
  <c r="J298" i="4"/>
  <c r="L298" i="4" s="1"/>
  <c r="J580" i="4"/>
  <c r="L580" i="4" s="1"/>
  <c r="J150" i="4"/>
  <c r="L247" i="4"/>
  <c r="J246" i="4"/>
  <c r="L246" i="4" s="1"/>
  <c r="J132" i="4"/>
  <c r="L132" i="4" s="1"/>
  <c r="H641" i="4"/>
  <c r="H8" i="4" s="1"/>
  <c r="H7" i="4" s="1"/>
  <c r="I128" i="4"/>
  <c r="Q94" i="1"/>
  <c r="Q88" i="1"/>
  <c r="Q91" i="1"/>
  <c r="Q216" i="1"/>
  <c r="Q64" i="1"/>
  <c r="Q197" i="1"/>
  <c r="Q23" i="1" s="1"/>
  <c r="Q75" i="1"/>
  <c r="Q208" i="1"/>
  <c r="Q204" i="1" s="1"/>
  <c r="Q24" i="1" s="1"/>
  <c r="Q104" i="1"/>
  <c r="Q39" i="1"/>
  <c r="Q153" i="1"/>
  <c r="Q54" i="1"/>
  <c r="P218" i="1"/>
  <c r="P217" i="1" s="1"/>
  <c r="P211" i="1"/>
  <c r="P209" i="1"/>
  <c r="P206" i="1"/>
  <c r="P205" i="1" s="1"/>
  <c r="P202" i="1"/>
  <c r="P201" i="1" s="1"/>
  <c r="P199" i="1"/>
  <c r="P198" i="1" s="1"/>
  <c r="P193" i="1"/>
  <c r="P187" i="1"/>
  <c r="P184" i="1"/>
  <c r="P182" i="1"/>
  <c r="P181" i="1"/>
  <c r="P170" i="1"/>
  <c r="Q170" i="1" s="1"/>
  <c r="R170" i="1" s="1"/>
  <c r="P167" i="1"/>
  <c r="P164" i="1"/>
  <c r="P163" i="1"/>
  <c r="P161" i="1"/>
  <c r="P159" i="1"/>
  <c r="P146" i="1"/>
  <c r="P143" i="1"/>
  <c r="P142" i="1"/>
  <c r="P141" i="1"/>
  <c r="P138" i="1"/>
  <c r="P136" i="1"/>
  <c r="P135" i="1"/>
  <c r="P134" i="1"/>
  <c r="P132" i="1"/>
  <c r="P129" i="1"/>
  <c r="P95" i="1"/>
  <c r="P92" i="1"/>
  <c r="P89" i="1"/>
  <c r="P88" i="1" s="1"/>
  <c r="P84" i="1"/>
  <c r="P80" i="1"/>
  <c r="P76" i="1"/>
  <c r="P68" i="1"/>
  <c r="P65" i="1"/>
  <c r="P61" i="1"/>
  <c r="P55" i="1"/>
  <c r="P51" i="1"/>
  <c r="P48" i="1"/>
  <c r="P40" i="1"/>
  <c r="L9" i="4" l="1"/>
  <c r="L150" i="4"/>
  <c r="I8" i="4"/>
  <c r="Q169" i="1"/>
  <c r="J94" i="4"/>
  <c r="L94" i="4" s="1"/>
  <c r="L97" i="4"/>
  <c r="J131" i="4"/>
  <c r="L129" i="4" s="1"/>
  <c r="Q152" i="1"/>
  <c r="Q99" i="1"/>
  <c r="Q16" i="1"/>
  <c r="Q25" i="1"/>
  <c r="P216" i="1"/>
  <c r="P91" i="1"/>
  <c r="P94" i="1"/>
  <c r="P208" i="1"/>
  <c r="P204" i="1" s="1"/>
  <c r="P24" i="1" s="1"/>
  <c r="Q38" i="1"/>
  <c r="P197" i="1"/>
  <c r="P23" i="1" s="1"/>
  <c r="P102" i="1"/>
  <c r="P145" i="1"/>
  <c r="P104" i="1"/>
  <c r="P128" i="1"/>
  <c r="P160" i="1"/>
  <c r="P169" i="1"/>
  <c r="P162" i="1"/>
  <c r="P173" i="1"/>
  <c r="P100" i="1"/>
  <c r="P153" i="1"/>
  <c r="P180" i="1"/>
  <c r="P140" i="1"/>
  <c r="P75" i="1"/>
  <c r="P64" i="1"/>
  <c r="P54" i="1"/>
  <c r="P39" i="1"/>
  <c r="N29" i="1"/>
  <c r="N96" i="1"/>
  <c r="N93" i="1"/>
  <c r="N90" i="1"/>
  <c r="N87" i="1"/>
  <c r="N86" i="1"/>
  <c r="N85" i="1"/>
  <c r="N83" i="1"/>
  <c r="N82" i="1"/>
  <c r="N81" i="1"/>
  <c r="N78" i="1"/>
  <c r="N79" i="1"/>
  <c r="N77" i="1"/>
  <c r="N74" i="1"/>
  <c r="N73" i="1"/>
  <c r="N72" i="1"/>
  <c r="N71" i="1"/>
  <c r="N70" i="1"/>
  <c r="N69" i="1"/>
  <c r="N67" i="1"/>
  <c r="N66" i="1"/>
  <c r="N63" i="1"/>
  <c r="N62" i="1"/>
  <c r="N60" i="1"/>
  <c r="N59" i="1"/>
  <c r="N57" i="1"/>
  <c r="N56" i="1"/>
  <c r="N53" i="1"/>
  <c r="N52" i="1"/>
  <c r="N50" i="1"/>
  <c r="N49" i="1"/>
  <c r="N47" i="1"/>
  <c r="N46" i="1"/>
  <c r="N45" i="1"/>
  <c r="N44" i="1"/>
  <c r="N43" i="1"/>
  <c r="N42" i="1"/>
  <c r="N41" i="1"/>
  <c r="J128" i="4" l="1"/>
  <c r="J641" i="4" s="1"/>
  <c r="Q15" i="1"/>
  <c r="P99" i="1"/>
  <c r="P172" i="1"/>
  <c r="P144" i="1"/>
  <c r="P16" i="1"/>
  <c r="P152" i="1"/>
  <c r="P137" i="1"/>
  <c r="P25" i="1"/>
  <c r="P38" i="1"/>
  <c r="O217" i="1"/>
  <c r="O211" i="1"/>
  <c r="O209" i="1"/>
  <c r="O206" i="1"/>
  <c r="O205" i="1" s="1"/>
  <c r="O202" i="1"/>
  <c r="O201" i="1" s="1"/>
  <c r="O199" i="1"/>
  <c r="O198" i="1" s="1"/>
  <c r="O193" i="1"/>
  <c r="R193" i="1" s="1"/>
  <c r="O187" i="1"/>
  <c r="Q187" i="1" s="1"/>
  <c r="R187" i="1" s="1"/>
  <c r="O184" i="1"/>
  <c r="Q184" i="1" s="1"/>
  <c r="R184" i="1" s="1"/>
  <c r="O182" i="1"/>
  <c r="Q182" i="1" s="1"/>
  <c r="R182" i="1" s="1"/>
  <c r="O181" i="1"/>
  <c r="Q181" i="1" s="1"/>
  <c r="Q174" i="1"/>
  <c r="O167" i="1"/>
  <c r="R167" i="1" s="1"/>
  <c r="O164" i="1"/>
  <c r="R164" i="1" s="1"/>
  <c r="O163" i="1"/>
  <c r="Q163" i="1" s="1"/>
  <c r="O161" i="1"/>
  <c r="Q161" i="1" s="1"/>
  <c r="O159" i="1"/>
  <c r="Q159" i="1" s="1"/>
  <c r="R159" i="1" s="1"/>
  <c r="R151" i="1"/>
  <c r="O146" i="1"/>
  <c r="Q146" i="1" s="1"/>
  <c r="O143" i="1"/>
  <c r="Q143" i="1" s="1"/>
  <c r="R143" i="1" s="1"/>
  <c r="O142" i="1"/>
  <c r="Q142" i="1" s="1"/>
  <c r="R142" i="1" s="1"/>
  <c r="O141" i="1"/>
  <c r="Q141" i="1" s="1"/>
  <c r="O138" i="1"/>
  <c r="R138" i="1" s="1"/>
  <c r="O136" i="1"/>
  <c r="Q136" i="1" s="1"/>
  <c r="R136" i="1" s="1"/>
  <c r="O135" i="1"/>
  <c r="Q135" i="1" s="1"/>
  <c r="R135" i="1" s="1"/>
  <c r="O134" i="1"/>
  <c r="Q134" i="1" s="1"/>
  <c r="R134" i="1" s="1"/>
  <c r="O132" i="1"/>
  <c r="Q132" i="1" s="1"/>
  <c r="R132" i="1" s="1"/>
  <c r="O129" i="1"/>
  <c r="Q129" i="1" s="1"/>
  <c r="O126" i="1"/>
  <c r="Q126" i="1" s="1"/>
  <c r="R126" i="1" s="1"/>
  <c r="R123" i="1"/>
  <c r="O120" i="1"/>
  <c r="Q120" i="1" s="1"/>
  <c r="R120" i="1" s="1"/>
  <c r="O118" i="1"/>
  <c r="Q118" i="1" s="1"/>
  <c r="R118" i="1" s="1"/>
  <c r="O117" i="1"/>
  <c r="Q117" i="1" s="1"/>
  <c r="R117" i="1" s="1"/>
  <c r="O116" i="1"/>
  <c r="Q116" i="1" s="1"/>
  <c r="O109" i="1"/>
  <c r="Q109" i="1" s="1"/>
  <c r="O95" i="1"/>
  <c r="R95" i="1" s="1"/>
  <c r="O92" i="1"/>
  <c r="R92" i="1" s="1"/>
  <c r="O89" i="1"/>
  <c r="R89" i="1" s="1"/>
  <c r="O84" i="1"/>
  <c r="R84" i="1" s="1"/>
  <c r="O80" i="1"/>
  <c r="R80" i="1" s="1"/>
  <c r="O76" i="1"/>
  <c r="R76" i="1" s="1"/>
  <c r="O68" i="1"/>
  <c r="R68" i="1" s="1"/>
  <c r="O65" i="1"/>
  <c r="R65" i="1" s="1"/>
  <c r="O61" i="1"/>
  <c r="R61" i="1" s="1"/>
  <c r="O58" i="1"/>
  <c r="R58" i="1" s="1"/>
  <c r="O55" i="1"/>
  <c r="R55" i="1" s="1"/>
  <c r="O51" i="1"/>
  <c r="R51" i="1" s="1"/>
  <c r="O48" i="1"/>
  <c r="R48" i="1" s="1"/>
  <c r="O40" i="1"/>
  <c r="R40" i="1" s="1"/>
  <c r="N218" i="1"/>
  <c r="N217" i="1" s="1"/>
  <c r="N216" i="1" s="1"/>
  <c r="N28" i="1" s="1"/>
  <c r="N212" i="1"/>
  <c r="N211" i="1" s="1"/>
  <c r="N209" i="1"/>
  <c r="N206" i="1"/>
  <c r="N205" i="1" s="1"/>
  <c r="N202" i="1"/>
  <c r="N201" i="1" s="1"/>
  <c r="N199" i="1"/>
  <c r="N198" i="1" s="1"/>
  <c r="N193" i="1"/>
  <c r="N167" i="1"/>
  <c r="N164" i="1"/>
  <c r="N138" i="1"/>
  <c r="N95" i="1"/>
  <c r="N94" i="1" s="1"/>
  <c r="N16" i="1" s="1"/>
  <c r="N92" i="1"/>
  <c r="N91" i="1" s="1"/>
  <c r="N89" i="1"/>
  <c r="N88" i="1" s="1"/>
  <c r="N84" i="1"/>
  <c r="N80" i="1"/>
  <c r="N76" i="1"/>
  <c r="N68" i="1"/>
  <c r="N65" i="1"/>
  <c r="N61" i="1"/>
  <c r="N58" i="1"/>
  <c r="N55" i="1"/>
  <c r="N51" i="1"/>
  <c r="N48" i="1"/>
  <c r="N40" i="1"/>
  <c r="M178" i="1"/>
  <c r="M121" i="1"/>
  <c r="M101" i="1"/>
  <c r="M100" i="1" s="1"/>
  <c r="M154" i="1"/>
  <c r="N177" i="1"/>
  <c r="R179" i="1"/>
  <c r="N174" i="1"/>
  <c r="N173" i="1" s="1"/>
  <c r="N172" i="1" s="1"/>
  <c r="N161" i="1"/>
  <c r="N160" i="1" s="1"/>
  <c r="N150" i="1"/>
  <c r="N118" i="1"/>
  <c r="N189" i="1"/>
  <c r="N159" i="1"/>
  <c r="N146" i="1"/>
  <c r="N134" i="1"/>
  <c r="N184" i="1"/>
  <c r="N182" i="1"/>
  <c r="N181" i="1"/>
  <c r="N143" i="1"/>
  <c r="N142" i="1"/>
  <c r="N141" i="1"/>
  <c r="N135" i="1"/>
  <c r="N126" i="1"/>
  <c r="N120" i="1"/>
  <c r="N111" i="1"/>
  <c r="N109" i="1"/>
  <c r="M179" i="1"/>
  <c r="M55" i="1"/>
  <c r="M61" i="1"/>
  <c r="M58" i="1"/>
  <c r="M177" i="1"/>
  <c r="M110" i="1"/>
  <c r="M105" i="1"/>
  <c r="M104" i="1" s="1"/>
  <c r="M192" i="1"/>
  <c r="M191" i="1" s="1"/>
  <c r="M189" i="1"/>
  <c r="M150" i="1"/>
  <c r="M123" i="1"/>
  <c r="M122" i="1"/>
  <c r="M155" i="1"/>
  <c r="M133" i="1"/>
  <c r="M114" i="1"/>
  <c r="M112" i="1"/>
  <c r="M111" i="1"/>
  <c r="M103" i="1"/>
  <c r="M187" i="1"/>
  <c r="M185" i="1"/>
  <c r="M183" i="1"/>
  <c r="M131" i="1"/>
  <c r="M212" i="1"/>
  <c r="M211" i="1" s="1"/>
  <c r="M115" i="1"/>
  <c r="M170" i="1"/>
  <c r="M147" i="1"/>
  <c r="M127" i="1"/>
  <c r="M76" i="1"/>
  <c r="M89" i="1"/>
  <c r="M88" i="1" s="1"/>
  <c r="J88" i="1"/>
  <c r="M68" i="1"/>
  <c r="M95" i="1"/>
  <c r="M94" i="1" s="1"/>
  <c r="M16" i="1" s="1"/>
  <c r="M135" i="1"/>
  <c r="M174" i="1"/>
  <c r="M92" i="1"/>
  <c r="M91" i="1" s="1"/>
  <c r="M184" i="1"/>
  <c r="M182" i="1"/>
  <c r="M181" i="1"/>
  <c r="M163" i="1"/>
  <c r="M161" i="1"/>
  <c r="M159" i="1"/>
  <c r="M151" i="1"/>
  <c r="M146" i="1"/>
  <c r="M143" i="1"/>
  <c r="M142" i="1"/>
  <c r="M141" i="1"/>
  <c r="M136" i="1"/>
  <c r="M134" i="1"/>
  <c r="M132" i="1"/>
  <c r="M129" i="1"/>
  <c r="M126" i="1"/>
  <c r="M125" i="1"/>
  <c r="M124" i="1"/>
  <c r="M120" i="1"/>
  <c r="M118" i="1"/>
  <c r="M117" i="1"/>
  <c r="M116" i="1"/>
  <c r="M109" i="1"/>
  <c r="M193" i="1"/>
  <c r="J23" i="3"/>
  <c r="J495" i="3"/>
  <c r="J473" i="3"/>
  <c r="J466" i="3"/>
  <c r="J459" i="3"/>
  <c r="J439" i="3"/>
  <c r="J432" i="3"/>
  <c r="J424" i="3"/>
  <c r="J419" i="3"/>
  <c r="J410" i="3"/>
  <c r="J407" i="3"/>
  <c r="J390" i="3"/>
  <c r="J383" i="3"/>
  <c r="J376" i="3"/>
  <c r="J367" i="3"/>
  <c r="J360" i="3"/>
  <c r="J352" i="3"/>
  <c r="J343" i="3"/>
  <c r="J332" i="3"/>
  <c r="J318" i="3"/>
  <c r="J307" i="3"/>
  <c r="J298" i="3"/>
  <c r="J291" i="3"/>
  <c r="J275" i="3"/>
  <c r="J272" i="3"/>
  <c r="J260" i="3"/>
  <c r="J249" i="3"/>
  <c r="J240" i="3"/>
  <c r="J232" i="3"/>
  <c r="J229" i="3"/>
  <c r="J222" i="3"/>
  <c r="J215" i="3"/>
  <c r="J204" i="3"/>
  <c r="J195" i="3"/>
  <c r="J188" i="3"/>
  <c r="J184" i="3"/>
  <c r="J172" i="3"/>
  <c r="J163" i="3"/>
  <c r="J156" i="3"/>
  <c r="J149" i="3"/>
  <c r="J140" i="3"/>
  <c r="J129" i="3"/>
  <c r="J119" i="3"/>
  <c r="J112" i="3"/>
  <c r="J102" i="3"/>
  <c r="J91" i="3"/>
  <c r="J67" i="3"/>
  <c r="J57" i="3"/>
  <c r="J49" i="3"/>
  <c r="J38" i="3"/>
  <c r="J32" i="3"/>
  <c r="J17" i="3"/>
  <c r="G406" i="3"/>
  <c r="H406" i="3"/>
  <c r="H31" i="3"/>
  <c r="H27" i="3" s="1"/>
  <c r="I497" i="3"/>
  <c r="I486" i="3"/>
  <c r="I475" i="3"/>
  <c r="I468" i="3"/>
  <c r="I461" i="3"/>
  <c r="I451" i="3"/>
  <c r="I454" i="3"/>
  <c r="I441" i="3"/>
  <c r="I444" i="3"/>
  <c r="I434" i="3"/>
  <c r="I421" i="3"/>
  <c r="I423" i="3"/>
  <c r="I426" i="3"/>
  <c r="I409" i="3"/>
  <c r="I412" i="3"/>
  <c r="I402" i="3"/>
  <c r="I392" i="3"/>
  <c r="I385" i="3"/>
  <c r="I378" i="3"/>
  <c r="I369" i="3"/>
  <c r="I362" i="3"/>
  <c r="I354" i="3"/>
  <c r="I355" i="3"/>
  <c r="I345" i="3"/>
  <c r="I347" i="3"/>
  <c r="I334" i="3"/>
  <c r="I320" i="3"/>
  <c r="I321" i="3"/>
  <c r="I323" i="3"/>
  <c r="I309" i="3"/>
  <c r="I311" i="3"/>
  <c r="I293" i="3"/>
  <c r="I294" i="3"/>
  <c r="I296" i="3"/>
  <c r="I297" i="3"/>
  <c r="I300" i="3"/>
  <c r="I286" i="3"/>
  <c r="I274" i="3"/>
  <c r="I277" i="3"/>
  <c r="I279" i="3"/>
  <c r="I262" i="3"/>
  <c r="I263" i="3"/>
  <c r="I265" i="3"/>
  <c r="I251" i="3"/>
  <c r="I242" i="3"/>
  <c r="I231" i="3"/>
  <c r="I234" i="3"/>
  <c r="I224" i="3"/>
  <c r="I217" i="3"/>
  <c r="I206" i="3"/>
  <c r="I197" i="3"/>
  <c r="I186" i="3"/>
  <c r="I187" i="3"/>
  <c r="I190" i="3"/>
  <c r="I174" i="3"/>
  <c r="I165" i="3"/>
  <c r="I158" i="3"/>
  <c r="I151" i="3"/>
  <c r="I142" i="3"/>
  <c r="I131" i="3"/>
  <c r="I121" i="3"/>
  <c r="I114" i="3"/>
  <c r="I104" i="3"/>
  <c r="I105" i="3"/>
  <c r="I106" i="3"/>
  <c r="I107" i="3"/>
  <c r="I69" i="3"/>
  <c r="I70" i="3"/>
  <c r="I71" i="3"/>
  <c r="I72" i="3"/>
  <c r="I74" i="3"/>
  <c r="I75" i="3"/>
  <c r="I76" i="3"/>
  <c r="I77" i="3"/>
  <c r="I78" i="3"/>
  <c r="I79" i="3"/>
  <c r="I80" i="3"/>
  <c r="I81" i="3"/>
  <c r="I83" i="3"/>
  <c r="I85" i="3"/>
  <c r="I86" i="3"/>
  <c r="I87" i="3"/>
  <c r="I88" i="3"/>
  <c r="I89" i="3"/>
  <c r="I90" i="3"/>
  <c r="I95" i="3"/>
  <c r="I96" i="3"/>
  <c r="I97" i="3"/>
  <c r="I51" i="3"/>
  <c r="I53" i="3"/>
  <c r="I55" i="3"/>
  <c r="I56" i="3"/>
  <c r="I59" i="3"/>
  <c r="I60" i="3"/>
  <c r="I61" i="3"/>
  <c r="I62" i="3"/>
  <c r="I34" i="3"/>
  <c r="I36" i="3"/>
  <c r="I37" i="3"/>
  <c r="I40" i="3"/>
  <c r="I19" i="3"/>
  <c r="I21" i="3"/>
  <c r="I22" i="3"/>
  <c r="I25" i="3"/>
  <c r="F276" i="3"/>
  <c r="I276" i="3" s="1"/>
  <c r="F241" i="3"/>
  <c r="G228" i="3"/>
  <c r="F411" i="3"/>
  <c r="I411" i="3" s="1"/>
  <c r="E411" i="3"/>
  <c r="E410" i="3" s="1"/>
  <c r="F173" i="3"/>
  <c r="I173" i="3" s="1"/>
  <c r="G148" i="3"/>
  <c r="E150" i="3"/>
  <c r="E149" i="3" s="1"/>
  <c r="E148" i="3" s="1"/>
  <c r="F150" i="3"/>
  <c r="F149" i="3" s="1"/>
  <c r="I149" i="3" s="1"/>
  <c r="G155" i="3"/>
  <c r="J155" i="3" s="1"/>
  <c r="H155" i="3"/>
  <c r="F157" i="3"/>
  <c r="F319" i="3"/>
  <c r="I319" i="3" s="1"/>
  <c r="H317" i="3"/>
  <c r="H313" i="3" s="1"/>
  <c r="F164" i="3"/>
  <c r="F84" i="3"/>
  <c r="I84" i="3" s="1"/>
  <c r="F73" i="3"/>
  <c r="I73" i="3" s="1"/>
  <c r="F425" i="3"/>
  <c r="E425" i="3"/>
  <c r="E424" i="3" s="1"/>
  <c r="H494" i="3"/>
  <c r="G494" i="3"/>
  <c r="F496" i="3"/>
  <c r="F495" i="3" s="1"/>
  <c r="E496" i="3"/>
  <c r="E495" i="3" s="1"/>
  <c r="E494" i="3" s="1"/>
  <c r="E490" i="3" s="1"/>
  <c r="E488" i="3" s="1"/>
  <c r="H449" i="3"/>
  <c r="H448" i="3" s="1"/>
  <c r="G449" i="3"/>
  <c r="G448" i="3" s="1"/>
  <c r="F450" i="3"/>
  <c r="I450" i="3" s="1"/>
  <c r="E450" i="3"/>
  <c r="E449" i="3" s="1"/>
  <c r="F453" i="3"/>
  <c r="I453" i="3" s="1"/>
  <c r="E453" i="3"/>
  <c r="E452" i="3" s="1"/>
  <c r="F443" i="3"/>
  <c r="F442" i="3" s="1"/>
  <c r="I442" i="3" s="1"/>
  <c r="H442" i="3"/>
  <c r="J442" i="3" s="1"/>
  <c r="F440" i="3"/>
  <c r="E440" i="3"/>
  <c r="E439" i="3" s="1"/>
  <c r="F408" i="3"/>
  <c r="F407" i="3" s="1"/>
  <c r="I407" i="3" s="1"/>
  <c r="E408" i="3"/>
  <c r="E407" i="3" s="1"/>
  <c r="E406" i="3" s="1"/>
  <c r="E250" i="3"/>
  <c r="E249" i="3" s="1"/>
  <c r="E248" i="3" s="1"/>
  <c r="E244" i="3" s="1"/>
  <c r="F250" i="3"/>
  <c r="I250" i="3" s="1"/>
  <c r="G248" i="3"/>
  <c r="G244" i="3" s="1"/>
  <c r="H248" i="3"/>
  <c r="H244" i="3" s="1"/>
  <c r="E164" i="3"/>
  <c r="E163" i="3" s="1"/>
  <c r="E162" i="3" s="1"/>
  <c r="E157" i="3"/>
  <c r="E156" i="3" s="1"/>
  <c r="E155" i="3" s="1"/>
  <c r="F233" i="3"/>
  <c r="E233" i="3"/>
  <c r="E232" i="3" s="1"/>
  <c r="E173" i="3"/>
  <c r="E172" i="3" s="1"/>
  <c r="E171" i="3" s="1"/>
  <c r="E167" i="3" s="1"/>
  <c r="H171" i="3"/>
  <c r="H162" i="3"/>
  <c r="J162" i="3" s="1"/>
  <c r="G171" i="3"/>
  <c r="G167" i="3" s="1"/>
  <c r="G162" i="3"/>
  <c r="F39" i="3"/>
  <c r="E39" i="3"/>
  <c r="E38" i="3" s="1"/>
  <c r="F35" i="3"/>
  <c r="E35" i="3"/>
  <c r="F33" i="3"/>
  <c r="E33" i="3"/>
  <c r="F24" i="3"/>
  <c r="F20" i="3"/>
  <c r="I20" i="3" s="1"/>
  <c r="H16" i="3"/>
  <c r="J16" i="3" s="1"/>
  <c r="F18" i="3"/>
  <c r="I18" i="3" s="1"/>
  <c r="E18" i="3"/>
  <c r="F92" i="3"/>
  <c r="E92" i="3"/>
  <c r="H284" i="3"/>
  <c r="H283" i="3" s="1"/>
  <c r="G284" i="3"/>
  <c r="G283" i="3" s="1"/>
  <c r="F285" i="3"/>
  <c r="F284" i="3" s="1"/>
  <c r="F283" i="3" s="1"/>
  <c r="E285" i="3"/>
  <c r="E284" i="3" s="1"/>
  <c r="E283" i="3" s="1"/>
  <c r="H393" i="3"/>
  <c r="H389" i="3" s="1"/>
  <c r="G393" i="3"/>
  <c r="G389" i="3" s="1"/>
  <c r="F394" i="3"/>
  <c r="F393" i="3" s="1"/>
  <c r="E394" i="3"/>
  <c r="E393" i="3" s="1"/>
  <c r="H484" i="3"/>
  <c r="H483" i="3" s="1"/>
  <c r="H479" i="3" s="1"/>
  <c r="H477" i="3" s="1"/>
  <c r="G484" i="3"/>
  <c r="F485" i="3"/>
  <c r="F484" i="3" s="1"/>
  <c r="E485" i="3"/>
  <c r="E484" i="3" s="1"/>
  <c r="E483" i="3" s="1"/>
  <c r="E479" i="3" s="1"/>
  <c r="E477" i="3" s="1"/>
  <c r="H472" i="3"/>
  <c r="J472" i="3" s="1"/>
  <c r="G472" i="3"/>
  <c r="F474" i="3"/>
  <c r="E474" i="3"/>
  <c r="E473" i="3" s="1"/>
  <c r="E472" i="3" s="1"/>
  <c r="H465" i="3"/>
  <c r="G465" i="3"/>
  <c r="F467" i="3"/>
  <c r="F466" i="3" s="1"/>
  <c r="I466" i="3" s="1"/>
  <c r="E467" i="3"/>
  <c r="H458" i="3"/>
  <c r="G458" i="3"/>
  <c r="F460" i="3"/>
  <c r="I460" i="3" s="1"/>
  <c r="E460" i="3"/>
  <c r="E459" i="3" s="1"/>
  <c r="E458" i="3" s="1"/>
  <c r="E443" i="3"/>
  <c r="E442" i="3" s="1"/>
  <c r="H431" i="3"/>
  <c r="G431" i="3"/>
  <c r="F433" i="3"/>
  <c r="E433" i="3"/>
  <c r="E432" i="3" s="1"/>
  <c r="E431" i="3" s="1"/>
  <c r="F422" i="3"/>
  <c r="I422" i="3" s="1"/>
  <c r="E422" i="3"/>
  <c r="H418" i="3"/>
  <c r="G418" i="3"/>
  <c r="F420" i="3"/>
  <c r="I420" i="3" s="1"/>
  <c r="E420" i="3"/>
  <c r="E419" i="3" s="1"/>
  <c r="E418" i="3" s="1"/>
  <c r="H400" i="3"/>
  <c r="J400" i="3" s="1"/>
  <c r="G399" i="3"/>
  <c r="F401" i="3"/>
  <c r="I401" i="3" s="1"/>
  <c r="E401" i="3"/>
  <c r="E400" i="3" s="1"/>
  <c r="E399" i="3" s="1"/>
  <c r="F391" i="3"/>
  <c r="I391" i="3" s="1"/>
  <c r="E391" i="3"/>
  <c r="E390" i="3" s="1"/>
  <c r="H382" i="3"/>
  <c r="G382" i="3"/>
  <c r="F384" i="3"/>
  <c r="I384" i="3" s="1"/>
  <c r="E384" i="3"/>
  <c r="E383" i="3" s="1"/>
  <c r="E382" i="3" s="1"/>
  <c r="H375" i="3"/>
  <c r="G375" i="3"/>
  <c r="F377" i="3"/>
  <c r="E377" i="3"/>
  <c r="E376" i="3" s="1"/>
  <c r="E375" i="3" s="1"/>
  <c r="H366" i="3"/>
  <c r="G366" i="3"/>
  <c r="F368" i="3"/>
  <c r="E368" i="3"/>
  <c r="E367" i="3" s="1"/>
  <c r="E366" i="3" s="1"/>
  <c r="H359" i="3"/>
  <c r="G359" i="3"/>
  <c r="F361" i="3"/>
  <c r="I361" i="3" s="1"/>
  <c r="E361" i="3"/>
  <c r="E360" i="3" s="1"/>
  <c r="E359" i="3" s="1"/>
  <c r="H351" i="3"/>
  <c r="G351" i="3"/>
  <c r="F353" i="3"/>
  <c r="F352" i="3" s="1"/>
  <c r="E353" i="3"/>
  <c r="E352" i="3" s="1"/>
  <c r="E351" i="3" s="1"/>
  <c r="F346" i="3"/>
  <c r="E346" i="3"/>
  <c r="H342" i="3"/>
  <c r="G342" i="3"/>
  <c r="F344" i="3"/>
  <c r="I344" i="3" s="1"/>
  <c r="E344" i="3"/>
  <c r="E343" i="3" s="1"/>
  <c r="E342" i="3" s="1"/>
  <c r="H331" i="3"/>
  <c r="H327" i="3" s="1"/>
  <c r="G331" i="3"/>
  <c r="G327" i="3" s="1"/>
  <c r="G325" i="3" s="1"/>
  <c r="F333" i="3"/>
  <c r="F332" i="3" s="1"/>
  <c r="F331" i="3" s="1"/>
  <c r="E333" i="3"/>
  <c r="E332" i="3" s="1"/>
  <c r="E331" i="3" s="1"/>
  <c r="E327" i="3" s="1"/>
  <c r="E325" i="3" s="1"/>
  <c r="F322" i="3"/>
  <c r="I322" i="3" s="1"/>
  <c r="E322" i="3"/>
  <c r="E319" i="3"/>
  <c r="F310" i="3"/>
  <c r="I310" i="3" s="1"/>
  <c r="E310" i="3"/>
  <c r="E307" i="3" s="1"/>
  <c r="E306" i="3" s="1"/>
  <c r="E302" i="3" s="1"/>
  <c r="F308" i="3"/>
  <c r="E308" i="3"/>
  <c r="G290" i="3"/>
  <c r="F299" i="3"/>
  <c r="F298" i="3" s="1"/>
  <c r="I298" i="3" s="1"/>
  <c r="E299" i="3"/>
  <c r="E298" i="3" s="1"/>
  <c r="F295" i="3"/>
  <c r="I295" i="3" s="1"/>
  <c r="E295" i="3"/>
  <c r="F292" i="3"/>
  <c r="E292" i="3"/>
  <c r="F278" i="3"/>
  <c r="E278" i="3"/>
  <c r="E276" i="3"/>
  <c r="E275" i="3" s="1"/>
  <c r="F273" i="3"/>
  <c r="I273" i="3" s="1"/>
  <c r="E273" i="3"/>
  <c r="E272" i="3" s="1"/>
  <c r="G259" i="3"/>
  <c r="G255" i="3" s="1"/>
  <c r="F264" i="3"/>
  <c r="I264" i="3" s="1"/>
  <c r="E264" i="3"/>
  <c r="H259" i="3"/>
  <c r="H255" i="3" s="1"/>
  <c r="F261" i="3"/>
  <c r="I261" i="3" s="1"/>
  <c r="E261" i="3"/>
  <c r="H239" i="3"/>
  <c r="G239" i="3"/>
  <c r="E241" i="3"/>
  <c r="E240" i="3" s="1"/>
  <c r="E239" i="3" s="1"/>
  <c r="F230" i="3"/>
  <c r="F229" i="3" s="1"/>
  <c r="I229" i="3" s="1"/>
  <c r="E230" i="3"/>
  <c r="E229" i="3" s="1"/>
  <c r="H221" i="3"/>
  <c r="G221" i="3"/>
  <c r="F223" i="3"/>
  <c r="E223" i="3"/>
  <c r="E222" i="3" s="1"/>
  <c r="E221" i="3" s="1"/>
  <c r="H214" i="3"/>
  <c r="G214" i="3"/>
  <c r="F216" i="3"/>
  <c r="I216" i="3" s="1"/>
  <c r="E216" i="3"/>
  <c r="E215" i="3" s="1"/>
  <c r="E214" i="3" s="1"/>
  <c r="H203" i="3"/>
  <c r="G203" i="3"/>
  <c r="G199" i="3" s="1"/>
  <c r="F205" i="3"/>
  <c r="I205" i="3" s="1"/>
  <c r="E205" i="3"/>
  <c r="E204" i="3" s="1"/>
  <c r="E203" i="3" s="1"/>
  <c r="E199" i="3" s="1"/>
  <c r="H194" i="3"/>
  <c r="G194" i="3"/>
  <c r="F196" i="3"/>
  <c r="E196" i="3"/>
  <c r="E195" i="3" s="1"/>
  <c r="E194" i="3" s="1"/>
  <c r="F189" i="3"/>
  <c r="I189" i="3"/>
  <c r="E189" i="3"/>
  <c r="E188" i="3" s="1"/>
  <c r="F185" i="3"/>
  <c r="I185" i="3" s="1"/>
  <c r="E185" i="3"/>
  <c r="E184" i="3" s="1"/>
  <c r="H148" i="3"/>
  <c r="H139" i="3"/>
  <c r="J139" i="3" s="1"/>
  <c r="G139" i="3"/>
  <c r="F141" i="3"/>
  <c r="F140" i="3" s="1"/>
  <c r="E141" i="3"/>
  <c r="E140" i="3" s="1"/>
  <c r="E139" i="3" s="1"/>
  <c r="E135" i="3" s="1"/>
  <c r="F130" i="3"/>
  <c r="E130" i="3"/>
  <c r="H126" i="3"/>
  <c r="H125" i="3"/>
  <c r="G126" i="3"/>
  <c r="G125" i="3" s="1"/>
  <c r="F127" i="3"/>
  <c r="F126" i="3" s="1"/>
  <c r="E127" i="3"/>
  <c r="E126" i="3"/>
  <c r="H118" i="3"/>
  <c r="G118" i="3"/>
  <c r="F120" i="3"/>
  <c r="F119" i="3" s="1"/>
  <c r="E120" i="3"/>
  <c r="E119" i="3" s="1"/>
  <c r="E118" i="3" s="1"/>
  <c r="H111" i="3"/>
  <c r="G111" i="3"/>
  <c r="F113" i="3"/>
  <c r="F112" i="3" s="1"/>
  <c r="I112" i="3" s="1"/>
  <c r="E113" i="3"/>
  <c r="E112" i="3" s="1"/>
  <c r="E111" i="3" s="1"/>
  <c r="H101" i="3"/>
  <c r="G101" i="3"/>
  <c r="F103" i="3"/>
  <c r="E103" i="3"/>
  <c r="E102" i="3" s="1"/>
  <c r="E101" i="3" s="1"/>
  <c r="F94" i="3"/>
  <c r="F91" i="3" s="1"/>
  <c r="I91" i="3" s="1"/>
  <c r="E94" i="3"/>
  <c r="E84" i="3"/>
  <c r="F82" i="3"/>
  <c r="I82" i="3" s="1"/>
  <c r="E82" i="3"/>
  <c r="E73" i="3"/>
  <c r="F68" i="3"/>
  <c r="E68" i="3"/>
  <c r="F58" i="3"/>
  <c r="E58" i="3"/>
  <c r="E57" i="3" s="1"/>
  <c r="F54" i="3"/>
  <c r="I54" i="3" s="1"/>
  <c r="E54" i="3"/>
  <c r="G48" i="3"/>
  <c r="F52" i="3"/>
  <c r="I52" i="3" s="1"/>
  <c r="E52" i="3"/>
  <c r="H48" i="3"/>
  <c r="F50" i="3"/>
  <c r="E50" i="3"/>
  <c r="E24" i="3"/>
  <c r="E23" i="3" s="1"/>
  <c r="E20" i="3"/>
  <c r="E17" i="3"/>
  <c r="K55" i="1"/>
  <c r="J91" i="1"/>
  <c r="L74" i="1"/>
  <c r="K74" i="1"/>
  <c r="J74" i="1"/>
  <c r="J78" i="1"/>
  <c r="J65" i="1"/>
  <c r="M218" i="1"/>
  <c r="M217" i="1" s="1"/>
  <c r="M216" i="1" s="1"/>
  <c r="M28" i="1" s="1"/>
  <c r="M202" i="1"/>
  <c r="M201" i="1" s="1"/>
  <c r="M167" i="1"/>
  <c r="M138" i="1"/>
  <c r="M65" i="1"/>
  <c r="L218" i="1"/>
  <c r="L217" i="1" s="1"/>
  <c r="L216" i="1" s="1"/>
  <c r="L28" i="1" s="1"/>
  <c r="L202" i="1"/>
  <c r="L201" i="1" s="1"/>
  <c r="K202" i="1"/>
  <c r="K201" i="1" s="1"/>
  <c r="L191" i="1"/>
  <c r="L180" i="1"/>
  <c r="L176" i="1"/>
  <c r="L173" i="1"/>
  <c r="L172" i="1" s="1"/>
  <c r="L169" i="1"/>
  <c r="L160" i="1"/>
  <c r="L158" i="1"/>
  <c r="L157" i="1" s="1"/>
  <c r="L153" i="1"/>
  <c r="L152" i="1" s="1"/>
  <c r="L130" i="1"/>
  <c r="L128" i="1"/>
  <c r="L119" i="1"/>
  <c r="L113" i="1"/>
  <c r="L108" i="1"/>
  <c r="L104" i="1"/>
  <c r="L100" i="1"/>
  <c r="L96" i="1"/>
  <c r="L84" i="1"/>
  <c r="L83" i="1"/>
  <c r="L82" i="1"/>
  <c r="L81" i="1"/>
  <c r="L78" i="1"/>
  <c r="L77" i="1"/>
  <c r="L73" i="1"/>
  <c r="L65" i="1"/>
  <c r="L55" i="1"/>
  <c r="L50" i="1"/>
  <c r="L49" i="1"/>
  <c r="L40" i="1"/>
  <c r="K191" i="1"/>
  <c r="K180" i="1"/>
  <c r="K176" i="1"/>
  <c r="K173" i="1"/>
  <c r="K172" i="1" s="1"/>
  <c r="K169" i="1"/>
  <c r="K160" i="1"/>
  <c r="K158" i="1"/>
  <c r="K153" i="1"/>
  <c r="K152" i="1" s="1"/>
  <c r="K149" i="1"/>
  <c r="K148" i="1" s="1"/>
  <c r="K140" i="1"/>
  <c r="K138" i="1"/>
  <c r="K130" i="1"/>
  <c r="K128" i="1"/>
  <c r="K119" i="1"/>
  <c r="K113" i="1"/>
  <c r="K108" i="1"/>
  <c r="K104" i="1"/>
  <c r="K100" i="1"/>
  <c r="K96" i="1"/>
  <c r="K84" i="1"/>
  <c r="K82" i="1"/>
  <c r="K81" i="1"/>
  <c r="K78" i="1"/>
  <c r="K77" i="1"/>
  <c r="K73" i="1"/>
  <c r="K65" i="1"/>
  <c r="K52" i="1"/>
  <c r="K50" i="1"/>
  <c r="K49" i="1"/>
  <c r="K40" i="1"/>
  <c r="J218" i="1"/>
  <c r="J217" i="1" s="1"/>
  <c r="J191" i="1"/>
  <c r="J180" i="1"/>
  <c r="J176" i="1"/>
  <c r="J173" i="1"/>
  <c r="J172" i="1" s="1"/>
  <c r="J169" i="1"/>
  <c r="J162" i="1"/>
  <c r="J160" i="1"/>
  <c r="J158" i="1"/>
  <c r="J157" i="1" s="1"/>
  <c r="J153" i="1"/>
  <c r="J152" i="1" s="1"/>
  <c r="J149" i="1"/>
  <c r="J148" i="1" s="1"/>
  <c r="J140" i="1"/>
  <c r="J130" i="1"/>
  <c r="J119" i="1"/>
  <c r="J113" i="1"/>
  <c r="J108" i="1"/>
  <c r="J104" i="1"/>
  <c r="J102" i="1"/>
  <c r="J100" i="1"/>
  <c r="J96" i="1"/>
  <c r="J95" i="1" s="1"/>
  <c r="J94" i="1" s="1"/>
  <c r="J16" i="1" s="1"/>
  <c r="J84" i="1"/>
  <c r="J83" i="1"/>
  <c r="J82" i="1"/>
  <c r="J77" i="1"/>
  <c r="J73" i="1"/>
  <c r="J55" i="1"/>
  <c r="J53" i="1"/>
  <c r="J52" i="1"/>
  <c r="J50" i="1"/>
  <c r="J49" i="1"/>
  <c r="J40" i="1"/>
  <c r="L193" i="1"/>
  <c r="K193" i="1"/>
  <c r="J128" i="1"/>
  <c r="L186" i="1"/>
  <c r="K186" i="1"/>
  <c r="J186" i="1"/>
  <c r="K83" i="1"/>
  <c r="J81" i="1"/>
  <c r="L52" i="1"/>
  <c r="L53" i="1"/>
  <c r="K53" i="1"/>
  <c r="L167" i="1"/>
  <c r="K167" i="1"/>
  <c r="J167" i="1"/>
  <c r="K218" i="1"/>
  <c r="K217" i="1" s="1"/>
  <c r="K216" i="1" s="1"/>
  <c r="K28" i="1" s="1"/>
  <c r="M164" i="1"/>
  <c r="J164" i="1"/>
  <c r="K162" i="1"/>
  <c r="K164" i="1"/>
  <c r="L162" i="1"/>
  <c r="L164" i="1"/>
  <c r="J193" i="1"/>
  <c r="L102" i="1"/>
  <c r="L138" i="1"/>
  <c r="L140" i="1"/>
  <c r="L145" i="1"/>
  <c r="L144" i="1" s="1"/>
  <c r="L149" i="1"/>
  <c r="L148" i="1" s="1"/>
  <c r="K102" i="1"/>
  <c r="K145" i="1"/>
  <c r="K144" i="1" s="1"/>
  <c r="J138" i="1"/>
  <c r="J145" i="1"/>
  <c r="J144" i="1" s="1"/>
  <c r="L211" i="1"/>
  <c r="M209" i="1"/>
  <c r="L209" i="1"/>
  <c r="M206" i="1"/>
  <c r="M205" i="1" s="1"/>
  <c r="L206" i="1"/>
  <c r="L205" i="1" s="1"/>
  <c r="M199" i="1"/>
  <c r="M198" i="1" s="1"/>
  <c r="L199" i="1"/>
  <c r="L198" i="1" s="1"/>
  <c r="K211" i="1"/>
  <c r="K209" i="1"/>
  <c r="K206" i="1"/>
  <c r="K205" i="1" s="1"/>
  <c r="K199" i="1"/>
  <c r="K198" i="1" s="1"/>
  <c r="J211" i="1"/>
  <c r="J209" i="1"/>
  <c r="J206" i="1"/>
  <c r="J205" i="1" s="1"/>
  <c r="J202" i="1"/>
  <c r="J201" i="1" s="1"/>
  <c r="J199" i="1"/>
  <c r="J198" i="1" s="1"/>
  <c r="H306" i="3"/>
  <c r="J452" i="3"/>
  <c r="H183" i="3"/>
  <c r="H178" i="3" s="1"/>
  <c r="G271" i="3"/>
  <c r="J271" i="3" s="1"/>
  <c r="H228" i="3"/>
  <c r="G183" i="3"/>
  <c r="H271" i="3"/>
  <c r="H290" i="3"/>
  <c r="G66" i="3"/>
  <c r="J66" i="3" s="1"/>
  <c r="G16" i="3"/>
  <c r="G438" i="3"/>
  <c r="G31" i="3"/>
  <c r="G27" i="3" s="1"/>
  <c r="H66" i="3"/>
  <c r="E129" i="3"/>
  <c r="E466" i="3"/>
  <c r="E465" i="3" s="1"/>
  <c r="G317" i="3"/>
  <c r="G313" i="3" s="1"/>
  <c r="J313" i="3" s="1"/>
  <c r="G306" i="3"/>
  <c r="F410" i="3"/>
  <c r="I141" i="3"/>
  <c r="F272" i="3"/>
  <c r="I272" i="3" s="1"/>
  <c r="F184" i="3"/>
  <c r="I184" i="3" s="1"/>
  <c r="F188" i="3"/>
  <c r="I188" i="3" s="1"/>
  <c r="I278" i="3"/>
  <c r="I353" i="3"/>
  <c r="F360" i="3"/>
  <c r="F359" i="3" s="1"/>
  <c r="F439" i="3"/>
  <c r="I439" i="3" s="1"/>
  <c r="I440" i="3"/>
  <c r="H438" i="3"/>
  <c r="L68" i="1"/>
  <c r="J68" i="1"/>
  <c r="I120" i="3"/>
  <c r="F148" i="3"/>
  <c r="M80" i="1"/>
  <c r="K68" i="1"/>
  <c r="I346" i="3"/>
  <c r="H490" i="3"/>
  <c r="H488" i="3" s="1"/>
  <c r="M51" i="1"/>
  <c r="F383" i="3"/>
  <c r="F382" i="3" s="1"/>
  <c r="I33" i="3"/>
  <c r="M48" i="1"/>
  <c r="M40" i="1"/>
  <c r="F343" i="3"/>
  <c r="F260" i="3"/>
  <c r="G135" i="3"/>
  <c r="F139" i="3"/>
  <c r="F135" i="3" s="1"/>
  <c r="I140" i="3"/>
  <c r="J27" i="3"/>
  <c r="G12" i="3"/>
  <c r="G483" i="3"/>
  <c r="G302" i="3"/>
  <c r="F111" i="3"/>
  <c r="I111" i="3" s="1"/>
  <c r="M84" i="1"/>
  <c r="M158" i="1"/>
  <c r="F465" i="3"/>
  <c r="J183" i="3"/>
  <c r="F318" i="3" l="1"/>
  <c r="F317" i="3" s="1"/>
  <c r="J48" i="3"/>
  <c r="J418" i="3"/>
  <c r="J317" i="3"/>
  <c r="I299" i="3"/>
  <c r="J255" i="3"/>
  <c r="F249" i="3"/>
  <c r="I465" i="3"/>
  <c r="F215" i="3"/>
  <c r="I230" i="3"/>
  <c r="J331" i="3"/>
  <c r="I113" i="3"/>
  <c r="J359" i="3"/>
  <c r="I485" i="3"/>
  <c r="F483" i="3"/>
  <c r="F479" i="3" s="1"/>
  <c r="F477" i="3" s="1"/>
  <c r="I484" i="3"/>
  <c r="J31" i="3"/>
  <c r="I408" i="3"/>
  <c r="F172" i="3"/>
  <c r="I172" i="3" s="1"/>
  <c r="J290" i="3"/>
  <c r="I383" i="3"/>
  <c r="F449" i="3"/>
  <c r="F419" i="3"/>
  <c r="I419" i="3" s="1"/>
  <c r="F459" i="3"/>
  <c r="F458" i="3" s="1"/>
  <c r="I458" i="3" s="1"/>
  <c r="F204" i="3"/>
  <c r="F203" i="3" s="1"/>
  <c r="I203" i="3" s="1"/>
  <c r="I443" i="3"/>
  <c r="H399" i="3"/>
  <c r="J399" i="3" s="1"/>
  <c r="I496" i="3"/>
  <c r="E125" i="3"/>
  <c r="E144" i="3"/>
  <c r="E133" i="3" s="1"/>
  <c r="I467" i="3"/>
  <c r="J125" i="3"/>
  <c r="H144" i="3"/>
  <c r="J351" i="3"/>
  <c r="F438" i="3"/>
  <c r="I438" i="3" s="1"/>
  <c r="I333" i="3"/>
  <c r="H135" i="3"/>
  <c r="J135" i="3" s="1"/>
  <c r="I359" i="3"/>
  <c r="F275" i="3"/>
  <c r="I275" i="3" s="1"/>
  <c r="G178" i="3"/>
  <c r="J178" i="3" s="1"/>
  <c r="E49" i="3"/>
  <c r="E48" i="3" s="1"/>
  <c r="E91" i="3"/>
  <c r="J118" i="3"/>
  <c r="E318" i="3"/>
  <c r="E317" i="3" s="1"/>
  <c r="E313" i="3" s="1"/>
  <c r="J431" i="3"/>
  <c r="J244" i="3"/>
  <c r="G144" i="3"/>
  <c r="G133" i="3" s="1"/>
  <c r="J228" i="3"/>
  <c r="J406" i="3"/>
  <c r="L128" i="4"/>
  <c r="L641" i="4"/>
  <c r="R129" i="1"/>
  <c r="Q128" i="1"/>
  <c r="R161" i="1"/>
  <c r="Q160" i="1"/>
  <c r="R109" i="1"/>
  <c r="Q108" i="1"/>
  <c r="R146" i="1"/>
  <c r="Q145" i="1"/>
  <c r="R163" i="1"/>
  <c r="Q162" i="1"/>
  <c r="R181" i="1"/>
  <c r="Q180" i="1"/>
  <c r="R116" i="1"/>
  <c r="Q113" i="1"/>
  <c r="R141" i="1"/>
  <c r="Q140" i="1"/>
  <c r="R174" i="1"/>
  <c r="Q173" i="1"/>
  <c r="I7" i="4"/>
  <c r="Q14" i="1"/>
  <c r="N131" i="1"/>
  <c r="I483" i="3"/>
  <c r="G479" i="3"/>
  <c r="G477" i="3" s="1"/>
  <c r="I148" i="3"/>
  <c r="I360" i="3"/>
  <c r="I459" i="3"/>
  <c r="F271" i="3"/>
  <c r="I271" i="3" s="1"/>
  <c r="I377" i="3"/>
  <c r="F376" i="3"/>
  <c r="F313" i="3"/>
  <c r="I313" i="3" s="1"/>
  <c r="I317" i="3"/>
  <c r="F23" i="3"/>
  <c r="I23" i="3" s="1"/>
  <c r="I24" i="3"/>
  <c r="I35" i="3"/>
  <c r="F32" i="3"/>
  <c r="I32" i="3" s="1"/>
  <c r="I343" i="3"/>
  <c r="F342" i="3"/>
  <c r="I342" i="3" s="1"/>
  <c r="F129" i="3"/>
  <c r="F125" i="3" s="1"/>
  <c r="I125" i="3" s="1"/>
  <c r="I130" i="3"/>
  <c r="I196" i="3"/>
  <c r="F195" i="3"/>
  <c r="I195" i="3" s="1"/>
  <c r="J248" i="3"/>
  <c r="I318" i="3"/>
  <c r="F183" i="3"/>
  <c r="I183" i="3" s="1"/>
  <c r="F400" i="3"/>
  <c r="F17" i="3"/>
  <c r="I17" i="3" s="1"/>
  <c r="I68" i="3"/>
  <c r="F67" i="3"/>
  <c r="I67" i="3" s="1"/>
  <c r="I103" i="3"/>
  <c r="F102" i="3"/>
  <c r="F118" i="3"/>
  <c r="I118" i="3" s="1"/>
  <c r="I119" i="3"/>
  <c r="F291" i="3"/>
  <c r="F290" i="3" s="1"/>
  <c r="I290" i="3" s="1"/>
  <c r="I292" i="3"/>
  <c r="J366" i="3"/>
  <c r="F432" i="3"/>
  <c r="I433" i="3"/>
  <c r="E228" i="3"/>
  <c r="J342" i="3"/>
  <c r="J448" i="3"/>
  <c r="E67" i="3"/>
  <c r="H44" i="3"/>
  <c r="H42" i="3" s="1"/>
  <c r="E183" i="3"/>
  <c r="E178" i="3" s="1"/>
  <c r="E338" i="3"/>
  <c r="E448" i="3"/>
  <c r="E210" i="3"/>
  <c r="E208" i="3" s="1"/>
  <c r="J389" i="3"/>
  <c r="H414" i="3"/>
  <c r="F452" i="3"/>
  <c r="I452" i="3" s="1"/>
  <c r="H12" i="3"/>
  <c r="H10" i="3" s="1"/>
  <c r="J259" i="3"/>
  <c r="I150" i="3"/>
  <c r="H338" i="3"/>
  <c r="I285" i="3"/>
  <c r="H210" i="3"/>
  <c r="H208" i="3" s="1"/>
  <c r="E260" i="3"/>
  <c r="E259" i="3" s="1"/>
  <c r="E255" i="3" s="1"/>
  <c r="J465" i="3"/>
  <c r="E32" i="3"/>
  <c r="E31" i="3" s="1"/>
  <c r="E27" i="3" s="1"/>
  <c r="N136" i="1"/>
  <c r="F473" i="3"/>
  <c r="I474" i="3"/>
  <c r="I233" i="3"/>
  <c r="F232" i="3"/>
  <c r="I232" i="3" s="1"/>
  <c r="I241" i="3"/>
  <c r="F240" i="3"/>
  <c r="F390" i="3"/>
  <c r="I410" i="3"/>
  <c r="F406" i="3"/>
  <c r="I406" i="3" s="1"/>
  <c r="H302" i="3"/>
  <c r="J302" i="3" s="1"/>
  <c r="J306" i="3"/>
  <c r="H199" i="3"/>
  <c r="H176" i="3" s="1"/>
  <c r="J203" i="3"/>
  <c r="G210" i="3"/>
  <c r="G208" i="3" s="1"/>
  <c r="J214" i="3"/>
  <c r="F327" i="3"/>
  <c r="I331" i="3"/>
  <c r="I368" i="3"/>
  <c r="F367" i="3"/>
  <c r="G267" i="3"/>
  <c r="G253" i="3" s="1"/>
  <c r="I283" i="3"/>
  <c r="I39" i="3"/>
  <c r="F38" i="3"/>
  <c r="H167" i="3"/>
  <c r="J167" i="3" s="1"/>
  <c r="J171" i="3"/>
  <c r="I164" i="3"/>
  <c r="F163" i="3"/>
  <c r="I157" i="3"/>
  <c r="F156" i="3"/>
  <c r="J148" i="3"/>
  <c r="I260" i="3"/>
  <c r="F259" i="3"/>
  <c r="I332" i="3"/>
  <c r="G414" i="3"/>
  <c r="E389" i="3"/>
  <c r="E371" i="3" s="1"/>
  <c r="H267" i="3"/>
  <c r="E438" i="3"/>
  <c r="E414" i="3" s="1"/>
  <c r="I495" i="3"/>
  <c r="F494" i="3"/>
  <c r="F490" i="3" s="1"/>
  <c r="F488" i="3" s="1"/>
  <c r="I425" i="3"/>
  <c r="F424" i="3"/>
  <c r="I352" i="3"/>
  <c r="F351" i="3"/>
  <c r="F57" i="3"/>
  <c r="I57" i="3" s="1"/>
  <c r="I58" i="3"/>
  <c r="G44" i="3"/>
  <c r="J111" i="3"/>
  <c r="I223" i="3"/>
  <c r="F222" i="3"/>
  <c r="I308" i="3"/>
  <c r="F307" i="3"/>
  <c r="J382" i="3"/>
  <c r="I382" i="3"/>
  <c r="G371" i="3"/>
  <c r="I94" i="3"/>
  <c r="J101" i="3"/>
  <c r="F49" i="3"/>
  <c r="I50" i="3"/>
  <c r="J327" i="3"/>
  <c r="H325" i="3"/>
  <c r="J325" i="3" s="1"/>
  <c r="G490" i="3"/>
  <c r="J494" i="3"/>
  <c r="O91" i="1"/>
  <c r="R91" i="1" s="1"/>
  <c r="E16" i="3"/>
  <c r="E12" i="3" s="1"/>
  <c r="J239" i="3"/>
  <c r="E271" i="3"/>
  <c r="J458" i="3"/>
  <c r="I284" i="3"/>
  <c r="O216" i="1"/>
  <c r="R217" i="1"/>
  <c r="I135" i="3"/>
  <c r="J194" i="3"/>
  <c r="O160" i="1"/>
  <c r="J438" i="3"/>
  <c r="E291" i="3"/>
  <c r="E290" i="3" s="1"/>
  <c r="G338" i="3"/>
  <c r="O88" i="1"/>
  <c r="R88" i="1" s="1"/>
  <c r="O128" i="1"/>
  <c r="O162" i="1"/>
  <c r="O173" i="1"/>
  <c r="O94" i="1"/>
  <c r="R94" i="1" s="1"/>
  <c r="O169" i="1"/>
  <c r="R169" i="1" s="1"/>
  <c r="P15" i="1"/>
  <c r="O104" i="1"/>
  <c r="R104" i="1" s="1"/>
  <c r="O100" i="1"/>
  <c r="R100" i="1" s="1"/>
  <c r="N170" i="1"/>
  <c r="N169" i="1" s="1"/>
  <c r="N116" i="1"/>
  <c r="N183" i="1"/>
  <c r="N112" i="1"/>
  <c r="N117" i="1"/>
  <c r="N123" i="1"/>
  <c r="N127" i="1"/>
  <c r="N115" i="1"/>
  <c r="N147" i="1"/>
  <c r="N145" i="1" s="1"/>
  <c r="N144" i="1" s="1"/>
  <c r="N110" i="1"/>
  <c r="N125" i="1"/>
  <c r="N154" i="1"/>
  <c r="N129" i="1"/>
  <c r="N128" i="1" s="1"/>
  <c r="N163" i="1"/>
  <c r="N162" i="1" s="1"/>
  <c r="N187" i="1"/>
  <c r="N186" i="1" s="1"/>
  <c r="N185" i="1"/>
  <c r="N178" i="1"/>
  <c r="N103" i="1"/>
  <c r="N102" i="1" s="1"/>
  <c r="N122" i="1"/>
  <c r="N133" i="1"/>
  <c r="N155" i="1"/>
  <c r="N124" i="1"/>
  <c r="N192" i="1"/>
  <c r="N191" i="1" s="1"/>
  <c r="N190" i="1" s="1"/>
  <c r="N179" i="1"/>
  <c r="N101" i="1"/>
  <c r="N100" i="1" s="1"/>
  <c r="N158" i="1"/>
  <c r="N157" i="1" s="1"/>
  <c r="N114" i="1"/>
  <c r="N132" i="1"/>
  <c r="N151" i="1"/>
  <c r="N149" i="1" s="1"/>
  <c r="N148" i="1" s="1"/>
  <c r="N105" i="1"/>
  <c r="N104" i="1" s="1"/>
  <c r="O108" i="1"/>
  <c r="O153" i="1"/>
  <c r="R153" i="1" s="1"/>
  <c r="O208" i="1"/>
  <c r="O204" i="1" s="1"/>
  <c r="O24" i="1" s="1"/>
  <c r="R24" i="1" s="1"/>
  <c r="O64" i="1"/>
  <c r="R64" i="1" s="1"/>
  <c r="O197" i="1"/>
  <c r="O23" i="1" s="1"/>
  <c r="R23" i="1" s="1"/>
  <c r="O145" i="1"/>
  <c r="O180" i="1"/>
  <c r="O39" i="1"/>
  <c r="R39" i="1" s="1"/>
  <c r="N121" i="1"/>
  <c r="O54" i="1"/>
  <c r="R54" i="1" s="1"/>
  <c r="O75" i="1"/>
  <c r="R75" i="1" s="1"/>
  <c r="O113" i="1"/>
  <c r="O140" i="1"/>
  <c r="M197" i="1"/>
  <c r="M23" i="1" s="1"/>
  <c r="N208" i="1"/>
  <c r="N204" i="1" s="1"/>
  <c r="N24" i="1" s="1"/>
  <c r="L137" i="1"/>
  <c r="N75" i="1"/>
  <c r="K64" i="1"/>
  <c r="K61" i="1" s="1"/>
  <c r="K58" i="1" s="1"/>
  <c r="K54" i="1" s="1"/>
  <c r="N140" i="1"/>
  <c r="N137" i="1" s="1"/>
  <c r="N64" i="1"/>
  <c r="N39" i="1"/>
  <c r="N54" i="1"/>
  <c r="N197" i="1"/>
  <c r="N23" i="1" s="1"/>
  <c r="M39" i="1"/>
  <c r="O149" i="1"/>
  <c r="O121" i="1"/>
  <c r="Q121" i="1" s="1"/>
  <c r="R121" i="1" s="1"/>
  <c r="O131" i="1"/>
  <c r="M149" i="1"/>
  <c r="M148" i="1" s="1"/>
  <c r="M186" i="1"/>
  <c r="M173" i="1"/>
  <c r="M176" i="1"/>
  <c r="K190" i="1"/>
  <c r="K99" i="1"/>
  <c r="L76" i="1"/>
  <c r="M102" i="1"/>
  <c r="J137" i="1"/>
  <c r="K51" i="1"/>
  <c r="K80" i="1"/>
  <c r="M180" i="1"/>
  <c r="M160" i="1"/>
  <c r="J197" i="1"/>
  <c r="J23" i="1" s="1"/>
  <c r="J156" i="1"/>
  <c r="K48" i="1"/>
  <c r="K197" i="1"/>
  <c r="K23" i="1" s="1"/>
  <c r="J48" i="1"/>
  <c r="K107" i="1"/>
  <c r="J190" i="1"/>
  <c r="J64" i="1"/>
  <c r="J61" i="1" s="1"/>
  <c r="J58" i="1" s="1"/>
  <c r="J54" i="1" s="1"/>
  <c r="M169" i="1"/>
  <c r="M145" i="1"/>
  <c r="M144" i="1" s="1"/>
  <c r="M157" i="1"/>
  <c r="M162" i="1"/>
  <c r="L197" i="1"/>
  <c r="L23" i="1" s="1"/>
  <c r="M140" i="1"/>
  <c r="M128" i="1"/>
  <c r="K95" i="1"/>
  <c r="K137" i="1"/>
  <c r="K175" i="1"/>
  <c r="M108" i="1"/>
  <c r="M54" i="1"/>
  <c r="M130" i="1"/>
  <c r="J76" i="1"/>
  <c r="L190" i="1"/>
  <c r="J99" i="1"/>
  <c r="L99" i="1"/>
  <c r="L156" i="1"/>
  <c r="L175" i="1"/>
  <c r="J51" i="1"/>
  <c r="M190" i="1"/>
  <c r="J216" i="1"/>
  <c r="L80" i="1"/>
  <c r="L48" i="1"/>
  <c r="R218" i="1"/>
  <c r="M64" i="1"/>
  <c r="L64" i="1"/>
  <c r="K208" i="1"/>
  <c r="K204" i="1" s="1"/>
  <c r="K24" i="1" s="1"/>
  <c r="M119" i="1"/>
  <c r="L95" i="1"/>
  <c r="L208" i="1"/>
  <c r="L204" i="1" s="1"/>
  <c r="L24" i="1" s="1"/>
  <c r="J80" i="1"/>
  <c r="J107" i="1"/>
  <c r="J175" i="1"/>
  <c r="K157" i="1"/>
  <c r="M153" i="1"/>
  <c r="M208" i="1"/>
  <c r="M204" i="1" s="1"/>
  <c r="M24" i="1" s="1"/>
  <c r="L51" i="1"/>
  <c r="L107" i="1"/>
  <c r="M113" i="1"/>
  <c r="J208" i="1"/>
  <c r="J204" i="1" s="1"/>
  <c r="J24" i="1" s="1"/>
  <c r="J25" i="1" s="1"/>
  <c r="G10" i="3"/>
  <c r="M75" i="1"/>
  <c r="I139" i="3"/>
  <c r="E176" i="3"/>
  <c r="K76" i="1"/>
  <c r="J375" i="3"/>
  <c r="F448" i="3" l="1"/>
  <c r="I448" i="3" s="1"/>
  <c r="H371" i="3"/>
  <c r="H336" i="3" s="1"/>
  <c r="E66" i="3"/>
  <c r="E44" i="3" s="1"/>
  <c r="E42" i="3" s="1"/>
  <c r="J144" i="3"/>
  <c r="I249" i="3"/>
  <c r="F248" i="3"/>
  <c r="J10" i="3"/>
  <c r="J199" i="3"/>
  <c r="I449" i="3"/>
  <c r="F171" i="3"/>
  <c r="I171" i="3" s="1"/>
  <c r="I215" i="3"/>
  <c r="F214" i="3"/>
  <c r="I214" i="3" s="1"/>
  <c r="I494" i="3"/>
  <c r="J371" i="3"/>
  <c r="I291" i="3"/>
  <c r="I129" i="3"/>
  <c r="I477" i="3"/>
  <c r="E10" i="3"/>
  <c r="J208" i="3"/>
  <c r="I479" i="3"/>
  <c r="F199" i="3"/>
  <c r="I199" i="3" s="1"/>
  <c r="H133" i="3"/>
  <c r="J133" i="3" s="1"/>
  <c r="G176" i="3"/>
  <c r="J176" i="3" s="1"/>
  <c r="F66" i="3"/>
  <c r="I66" i="3" s="1"/>
  <c r="J414" i="3"/>
  <c r="F16" i="3"/>
  <c r="I16" i="3" s="1"/>
  <c r="J12" i="3"/>
  <c r="I204" i="3"/>
  <c r="R180" i="1"/>
  <c r="R160" i="1"/>
  <c r="R140" i="1"/>
  <c r="Q137" i="1"/>
  <c r="R145" i="1"/>
  <c r="Q144" i="1"/>
  <c r="R173" i="1"/>
  <c r="Q172" i="1"/>
  <c r="R113" i="1"/>
  <c r="R162" i="1"/>
  <c r="R108" i="1"/>
  <c r="R128" i="1"/>
  <c r="J8" i="4"/>
  <c r="L8" i="4" s="1"/>
  <c r="P119" i="1"/>
  <c r="O119" i="1"/>
  <c r="F431" i="3"/>
  <c r="I431" i="3" s="1"/>
  <c r="I432" i="3"/>
  <c r="F399" i="3"/>
  <c r="I399" i="3" s="1"/>
  <c r="I400" i="3"/>
  <c r="F375" i="3"/>
  <c r="I375" i="3" s="1"/>
  <c r="I376" i="3"/>
  <c r="F194" i="3"/>
  <c r="F178" i="3" s="1"/>
  <c r="I102" i="3"/>
  <c r="F101" i="3"/>
  <c r="I101" i="3" s="1"/>
  <c r="F167" i="3"/>
  <c r="I167" i="3" s="1"/>
  <c r="E336" i="3"/>
  <c r="G42" i="3"/>
  <c r="J42" i="3" s="1"/>
  <c r="F472" i="3"/>
  <c r="I472" i="3" s="1"/>
  <c r="I473" i="3"/>
  <c r="I222" i="3"/>
  <c r="F221" i="3"/>
  <c r="F418" i="3"/>
  <c r="I424" i="3"/>
  <c r="F155" i="3"/>
  <c r="I156" i="3"/>
  <c r="J44" i="3"/>
  <c r="O144" i="1"/>
  <c r="G336" i="3"/>
  <c r="F325" i="3"/>
  <c r="I325" i="3" s="1"/>
  <c r="I327" i="3"/>
  <c r="F389" i="3"/>
  <c r="I390" i="3"/>
  <c r="F228" i="3"/>
  <c r="I228" i="3" s="1"/>
  <c r="R216" i="1"/>
  <c r="F255" i="3"/>
  <c r="I259" i="3"/>
  <c r="O137" i="1"/>
  <c r="O172" i="1"/>
  <c r="E267" i="3"/>
  <c r="E253" i="3" s="1"/>
  <c r="I490" i="3"/>
  <c r="J490" i="3"/>
  <c r="G488" i="3"/>
  <c r="F48" i="3"/>
  <c r="I49" i="3"/>
  <c r="I307" i="3"/>
  <c r="F306" i="3"/>
  <c r="I351" i="3"/>
  <c r="J267" i="3"/>
  <c r="H253" i="3"/>
  <c r="J253" i="3" s="1"/>
  <c r="F267" i="3"/>
  <c r="I267" i="3" s="1"/>
  <c r="F162" i="3"/>
  <c r="I162" i="3" s="1"/>
  <c r="I163" i="3"/>
  <c r="I38" i="3"/>
  <c r="F31" i="3"/>
  <c r="F366" i="3"/>
  <c r="I366" i="3" s="1"/>
  <c r="I367" i="3"/>
  <c r="J210" i="3"/>
  <c r="I240" i="3"/>
  <c r="F239" i="3"/>
  <c r="I239" i="3" s="1"/>
  <c r="J338" i="3"/>
  <c r="O16" i="1"/>
  <c r="R16" i="1" s="1"/>
  <c r="O148" i="1"/>
  <c r="P14" i="1"/>
  <c r="O152" i="1"/>
  <c r="R152" i="1" s="1"/>
  <c r="O176" i="1"/>
  <c r="N108" i="1"/>
  <c r="N130" i="1"/>
  <c r="N153" i="1"/>
  <c r="N152" i="1" s="1"/>
  <c r="N180" i="1"/>
  <c r="N156" i="1"/>
  <c r="N99" i="1"/>
  <c r="N113" i="1"/>
  <c r="N119" i="1"/>
  <c r="N176" i="1"/>
  <c r="O191" i="1"/>
  <c r="O186" i="1"/>
  <c r="R133" i="1"/>
  <c r="O25" i="1"/>
  <c r="R25" i="1" s="1"/>
  <c r="M25" i="1"/>
  <c r="O38" i="1"/>
  <c r="R38" i="1" s="1"/>
  <c r="N38" i="1"/>
  <c r="N15" i="1" s="1"/>
  <c r="N14" i="1" s="1"/>
  <c r="K171" i="1"/>
  <c r="K19" i="1" s="1"/>
  <c r="K39" i="1"/>
  <c r="N25" i="1"/>
  <c r="K25" i="1"/>
  <c r="M172" i="1"/>
  <c r="L75" i="1"/>
  <c r="M175" i="1"/>
  <c r="M99" i="1"/>
  <c r="J75" i="1"/>
  <c r="L98" i="1"/>
  <c r="L18" i="1" s="1"/>
  <c r="L25" i="1"/>
  <c r="L171" i="1"/>
  <c r="L19" i="1" s="1"/>
  <c r="M156" i="1"/>
  <c r="J171" i="1"/>
  <c r="J19" i="1" s="1"/>
  <c r="J39" i="1"/>
  <c r="J98" i="1"/>
  <c r="J18" i="1" s="1"/>
  <c r="M137" i="1"/>
  <c r="K94" i="1"/>
  <c r="K16" i="1" s="1"/>
  <c r="L94" i="1"/>
  <c r="L16" i="1" s="1"/>
  <c r="J28" i="1"/>
  <c r="M107" i="1"/>
  <c r="M152" i="1"/>
  <c r="L39" i="1"/>
  <c r="K156" i="1"/>
  <c r="L61" i="1"/>
  <c r="M38" i="1"/>
  <c r="I194" i="3"/>
  <c r="K75" i="1"/>
  <c r="F12" i="3" l="1"/>
  <c r="J336" i="3"/>
  <c r="F244" i="3"/>
  <c r="I244" i="3" s="1"/>
  <c r="I248" i="3"/>
  <c r="E499" i="3"/>
  <c r="E8" i="3" s="1"/>
  <c r="G499" i="3"/>
  <c r="R144" i="1"/>
  <c r="R172" i="1"/>
  <c r="R137" i="1"/>
  <c r="O157" i="1"/>
  <c r="O156" i="1" s="1"/>
  <c r="J7" i="4"/>
  <c r="L7" i="4" s="1"/>
  <c r="Q158" i="1"/>
  <c r="R158" i="1" s="1"/>
  <c r="I255" i="3"/>
  <c r="F302" i="3"/>
  <c r="I302" i="3" s="1"/>
  <c r="I306" i="3"/>
  <c r="I488" i="3"/>
  <c r="J488" i="3"/>
  <c r="I12" i="3"/>
  <c r="F338" i="3"/>
  <c r="H499" i="3"/>
  <c r="H8" i="3" s="1"/>
  <c r="I155" i="3"/>
  <c r="F144" i="3"/>
  <c r="I418" i="3"/>
  <c r="F414" i="3"/>
  <c r="I414" i="3" s="1"/>
  <c r="F27" i="3"/>
  <c r="I27" i="3" s="1"/>
  <c r="I31" i="3"/>
  <c r="I48" i="3"/>
  <c r="F44" i="3"/>
  <c r="I389" i="3"/>
  <c r="F371" i="3"/>
  <c r="I371" i="3" s="1"/>
  <c r="F210" i="3"/>
  <c r="O190" i="1"/>
  <c r="O130" i="1"/>
  <c r="O107" i="1" s="1"/>
  <c r="O102" i="1"/>
  <c r="R102" i="1" s="1"/>
  <c r="O15" i="1"/>
  <c r="R15" i="1" s="1"/>
  <c r="N175" i="1"/>
  <c r="N171" i="1" s="1"/>
  <c r="N19" i="1" s="1"/>
  <c r="O175" i="1"/>
  <c r="N107" i="1"/>
  <c r="N98" i="1" s="1"/>
  <c r="N18" i="1" s="1"/>
  <c r="P131" i="1"/>
  <c r="Q131" i="1" s="1"/>
  <c r="R131" i="1" s="1"/>
  <c r="J38" i="1"/>
  <c r="J15" i="1" s="1"/>
  <c r="J20" i="1" s="1"/>
  <c r="J30" i="1" s="1"/>
  <c r="M171" i="1"/>
  <c r="M98" i="1"/>
  <c r="M18" i="1" s="1"/>
  <c r="L58" i="1"/>
  <c r="K98" i="1"/>
  <c r="K18" i="1" s="1"/>
  <c r="F176" i="3"/>
  <c r="I178" i="3"/>
  <c r="M15" i="1"/>
  <c r="G8" i="3"/>
  <c r="K38" i="1"/>
  <c r="J499" i="3" l="1"/>
  <c r="F42" i="3"/>
  <c r="I42" i="3" s="1"/>
  <c r="I44" i="3"/>
  <c r="N17" i="1"/>
  <c r="I210" i="3"/>
  <c r="F208" i="3"/>
  <c r="I208" i="3" s="1"/>
  <c r="I144" i="3"/>
  <c r="F133" i="3"/>
  <c r="I133" i="3" s="1"/>
  <c r="I338" i="3"/>
  <c r="F336" i="3"/>
  <c r="I336" i="3" s="1"/>
  <c r="F10" i="3"/>
  <c r="I10" i="3" s="1"/>
  <c r="F253" i="3"/>
  <c r="I253" i="3" s="1"/>
  <c r="O171" i="1"/>
  <c r="O99" i="1"/>
  <c r="R99" i="1" s="1"/>
  <c r="O14" i="1"/>
  <c r="R14" i="1" s="1"/>
  <c r="N20" i="1"/>
  <c r="N30" i="1" s="1"/>
  <c r="P149" i="1"/>
  <c r="P130" i="1"/>
  <c r="P107" i="1" s="1"/>
  <c r="P157" i="1"/>
  <c r="M19" i="1"/>
  <c r="L54" i="1"/>
  <c r="J8" i="3"/>
  <c r="K15" i="1"/>
  <c r="M14" i="1"/>
  <c r="I176" i="3"/>
  <c r="O98" i="1" l="1"/>
  <c r="O18" i="1" s="1"/>
  <c r="P176" i="1"/>
  <c r="F499" i="3"/>
  <c r="I499" i="3" s="1"/>
  <c r="R149" i="1"/>
  <c r="O19" i="1"/>
  <c r="Q157" i="1"/>
  <c r="R157" i="1" s="1"/>
  <c r="Q130" i="1"/>
  <c r="R130" i="1" s="1"/>
  <c r="Q176" i="1"/>
  <c r="R176" i="1" s="1"/>
  <c r="P148" i="1"/>
  <c r="Q149" i="1"/>
  <c r="P186" i="1"/>
  <c r="P191" i="1"/>
  <c r="P156" i="1"/>
  <c r="M20" i="1"/>
  <c r="M30" i="1" s="1"/>
  <c r="M17" i="1"/>
  <c r="L38" i="1"/>
  <c r="K20" i="1"/>
  <c r="F8" i="3" l="1"/>
  <c r="I8" i="3" s="1"/>
  <c r="Q148" i="1"/>
  <c r="Q156" i="1"/>
  <c r="R156" i="1" s="1"/>
  <c r="Q119" i="1"/>
  <c r="R119" i="1" s="1"/>
  <c r="P190" i="1"/>
  <c r="R148" i="1"/>
  <c r="O17" i="1"/>
  <c r="O20" i="1"/>
  <c r="P175" i="1"/>
  <c r="Q191" i="1"/>
  <c r="R191" i="1" s="1"/>
  <c r="Q186" i="1"/>
  <c r="R186" i="1" s="1"/>
  <c r="L15" i="1"/>
  <c r="K30" i="1"/>
  <c r="Q175" i="1" l="1"/>
  <c r="R175" i="1" s="1"/>
  <c r="Q107" i="1"/>
  <c r="R107" i="1" s="1"/>
  <c r="Q190" i="1"/>
  <c r="R190" i="1" s="1"/>
  <c r="P171" i="1"/>
  <c r="P19" i="1" s="1"/>
  <c r="O30" i="1"/>
  <c r="P98" i="1"/>
  <c r="L20" i="1"/>
  <c r="Q98" i="1" l="1"/>
  <c r="R98" i="1" s="1"/>
  <c r="Q171" i="1"/>
  <c r="R171" i="1" s="1"/>
  <c r="P18" i="1"/>
  <c r="P17" i="1" s="1"/>
  <c r="L30" i="1"/>
  <c r="Q19" i="1" l="1"/>
  <c r="R19" i="1" s="1"/>
  <c r="Q18" i="1"/>
  <c r="R18" i="1" s="1"/>
  <c r="P20" i="1"/>
  <c r="P30" i="1" s="1"/>
  <c r="Q20" i="1" l="1"/>
  <c r="Q17" i="1"/>
  <c r="R17" i="1" s="1"/>
  <c r="R20" i="1" l="1"/>
  <c r="Q30" i="1"/>
</calcChain>
</file>

<file path=xl/sharedStrings.xml><?xml version="1.0" encoding="utf-8"?>
<sst xmlns="http://schemas.openxmlformats.org/spreadsheetml/2006/main" count="2004" uniqueCount="698">
  <si>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</si>
  <si>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</si>
  <si>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</si>
  <si>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</si>
  <si>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</si>
  <si>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B. RAČUN ZADUŽIVANJA/FINANCIRANJA</t>
  </si>
  <si>
    <t>Primici od financijske imovine i zaduživanja</t>
  </si>
  <si>
    <t>NETO ZADUŽIVANJE/FINANCIRANJE</t>
  </si>
  <si>
    <t>Vlastiti izvori</t>
  </si>
  <si>
    <t>VIŠAK/MANJAK + NETO ZADUŽIVANJA/FINANCIRANJA + RASPOLOŽIVA SREDSTVA IZ PRETHODNIH GODINA</t>
  </si>
  <si>
    <t>BROJ KONTA</t>
  </si>
  <si>
    <t>VRSTA PRIHODA/IZDATAKA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</si>
  <si>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</si>
  <si>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</si>
  <si>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</si>
  <si>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</si>
  <si>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po godišnjoj prijavi</t>
  </si>
  <si>
    <t>Porezi na imovinu</t>
  </si>
  <si>
    <t>Stalni porezi na nepokretnu imovinu</t>
  </si>
  <si>
    <t>Povremeni porezi na imovinu</t>
  </si>
  <si>
    <t>Porezi na robu i usluge</t>
  </si>
  <si>
    <t>Porez na promet</t>
  </si>
  <si>
    <t>Porezi na korištenje dobara ili izvođenje aktivnosti</t>
  </si>
  <si>
    <t>Pomoći</t>
  </si>
  <si>
    <t>Pomoći iz proračuna</t>
  </si>
  <si>
    <t>Prihodi od imovine</t>
  </si>
  <si>
    <t>Prihodi od financijske imovine</t>
  </si>
  <si>
    <t>Prihod od zateznih kamata</t>
  </si>
  <si>
    <t>Prihodi od nefinancijske imovine</t>
  </si>
  <si>
    <t>Naknade za koncesije</t>
  </si>
  <si>
    <t>Ostali prihodi od nefinancijske imovine</t>
  </si>
  <si>
    <t>Prihodi od prodaje državnih biljega</t>
  </si>
  <si>
    <t>Prihodi po posebnim propisima</t>
  </si>
  <si>
    <t>Komunalni doprinosi</t>
  </si>
  <si>
    <t>Komunalne naknade</t>
  </si>
  <si>
    <t>Doprinosi za šume</t>
  </si>
  <si>
    <t xml:space="preserve">Ostali nespomenuti prihodi </t>
  </si>
  <si>
    <t>Tekuće donacije</t>
  </si>
  <si>
    <t>Kapitalne donacije</t>
  </si>
  <si>
    <t>Prihodi od prodaje neproizvedene imovine</t>
  </si>
  <si>
    <t>Zemljište</t>
  </si>
  <si>
    <t>Rashodi za zaposlene</t>
  </si>
  <si>
    <t>Plaće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</si>
  <si>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</si>
  <si>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</si>
  <si>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</si>
  <si>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</si>
  <si>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</si>
  <si>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</si>
  <si>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</si>
  <si>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</si>
  <si>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</si>
  <si>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</si>
  <si>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</si>
  <si>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</si>
  <si>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</si>
  <si>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</si>
  <si>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</si>
  <si>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</si>
  <si>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</si>
  <si>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</si>
  <si>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</si>
  <si>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</si>
  <si>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</si>
  <si>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</si>
  <si>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</si>
  <si>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povjerenstava i sl</t>
  </si>
  <si>
    <t>Premije osiguranja</t>
  </si>
  <si>
    <t>Reprezentacija</t>
  </si>
  <si>
    <t>Članarine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</si>
  <si>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</si>
  <si>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</si>
  <si>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</si>
  <si>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</si>
  <si>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</si>
  <si>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</si>
  <si>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poljoprivrednicima, obrtnicima, malim i srednjim poduzetnicima</t>
  </si>
  <si>
    <t>Naknade građanima i kućanstvima iz proračuna</t>
  </si>
  <si>
    <t>Naknade građanima i kućanstvima u novcu</t>
  </si>
  <si>
    <t>Naknade građanima i kućanstvima u naravi</t>
  </si>
  <si>
    <t>Donacije i ostali rashodi</t>
  </si>
  <si>
    <t>Tekuće donacije u novcu</t>
  </si>
  <si>
    <t>Tekuće donacije vjerskim zajednicama</t>
  </si>
  <si>
    <t>Tekuće donacije političkim strankama</t>
  </si>
  <si>
    <t>Tekuće donacije sportskim društvima</t>
  </si>
  <si>
    <t>Ostale tekuće donacije</t>
  </si>
  <si>
    <t>Tekuće donacije u naravi</t>
  </si>
  <si>
    <t>Kapitalne donacije neprofitnim organizacijama</t>
  </si>
  <si>
    <t>Kapitalne donacije građanima i kućanstvima</t>
  </si>
  <si>
    <t>Kazne, penali i naknade štete</t>
  </si>
  <si>
    <t>Naknade štete pravnim i fizičkim osobama</t>
  </si>
  <si>
    <t>Rashodi iz proteklih godina</t>
  </si>
  <si>
    <t>Materijalni rashodi iz proteklih godina</t>
  </si>
  <si>
    <t>Ostali rashodi iz proteklih godina</t>
  </si>
  <si>
    <t>Izvanredni rashodi</t>
  </si>
  <si>
    <t>Materijalna imovina- prirodna bogatstva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</si>
  <si>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</si>
  <si>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</si>
  <si>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</si>
  <si>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</si>
  <si>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</si>
  <si>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</si>
  <si>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Uređaji, strojevi i oprema za ostale namjene</t>
  </si>
  <si>
    <t>Dodatna ulaganja na građevinskim objektima</t>
  </si>
  <si>
    <t>Primici od zaduživanja</t>
  </si>
  <si>
    <t>Izdaci za otplatu glavnice primljenih zajmova</t>
  </si>
  <si>
    <t>C. RASPOLOŽIVA SREDSTVA IZ PRETHODNIH GODINA</t>
  </si>
  <si>
    <t>Rezultata poslovanja</t>
  </si>
  <si>
    <t>Višak/manjak prihoda</t>
  </si>
  <si>
    <t>Pozicija</t>
  </si>
  <si>
    <t>UKUPNI RASHODI</t>
  </si>
  <si>
    <t>Porez i prirez na dohodak od kapitala</t>
  </si>
  <si>
    <t>Oprema za održavanje i zaštitu</t>
  </si>
  <si>
    <t>Ulaganje u računalne programe</t>
  </si>
  <si>
    <t>Članak 3.</t>
  </si>
  <si>
    <t>Primljeni zajmovi od banaka i ostalih fin. inst. izvan javnog sektora</t>
  </si>
  <si>
    <t>Primljeni zajmovi od tuzemnih banaka i ostalih fin. institucija izvan javnog sektora</t>
  </si>
  <si>
    <t>Nematerijalna proizvedena imovina</t>
  </si>
  <si>
    <t>Otplata glavnice primljenih zajmova od trg.društava u javnom sektoru</t>
  </si>
  <si>
    <t>Ostali građevinski objekti</t>
  </si>
  <si>
    <t>Porez i prirez u nadzoru prethodnih godina</t>
  </si>
  <si>
    <t>Kapitalne donacije sportskim društvima</t>
  </si>
  <si>
    <t>Primljene otplate glavnice danih zajmova</t>
  </si>
  <si>
    <t>Povrat zajmova danih tuz.bankama izvan jav.sekt.</t>
  </si>
  <si>
    <t>Izdaci za dane zajmove</t>
  </si>
  <si>
    <t>Izdaci za dane zajmove bankama izv.jav.sekt.</t>
  </si>
  <si>
    <t>Dani zajmovi tuzemnim bankama</t>
  </si>
  <si>
    <t xml:space="preserve">Kapitalne pomoći </t>
  </si>
  <si>
    <t>Ostali rashodi</t>
  </si>
  <si>
    <t>Prihodi od zakupa poslovnih objekata</t>
  </si>
  <si>
    <t>Komunalni doprinosi i naknade</t>
  </si>
  <si>
    <t>Pristojbe i naknade</t>
  </si>
  <si>
    <t>Administrativne i upravne pristojbe</t>
  </si>
  <si>
    <t>Naknade za priključak</t>
  </si>
  <si>
    <t>Plaće za zaposlene</t>
  </si>
  <si>
    <t>Službena radna i zaštitna odjeća i obuća</t>
  </si>
  <si>
    <t>Pomoći dane u inozemstvo i unutar općeg proračuna</t>
  </si>
  <si>
    <t>Kapitalne pomoći unutar općeg proračuna</t>
  </si>
  <si>
    <t>Tekuće pomoći unutar općeg proračuna</t>
  </si>
  <si>
    <t>Pomoći unutar općeg proračuna</t>
  </si>
  <si>
    <t>Naknade građanima i kućanstvima na temelju osiguranja i dr.naknade</t>
  </si>
  <si>
    <t>Ceste, željeznice i ostali prometni objekti</t>
  </si>
  <si>
    <t>Naknade troškova osobama izvan radnog odnosa</t>
  </si>
  <si>
    <t>Prihodi vodnog gospodarstva</t>
  </si>
  <si>
    <t>Ostale naknade troškova zaposlenima</t>
  </si>
  <si>
    <t>Naknade trošk. osobama izvan radnog odnosa</t>
  </si>
  <si>
    <t>Zatezne kamate iz posl.odnosa</t>
  </si>
  <si>
    <t>Kamate za primljene kredite i zajmove</t>
  </si>
  <si>
    <t>Kamate za primljene kredite i zajmove od banaka i ostalih fin. Institucija izvan javnog sektora</t>
  </si>
  <si>
    <t>Bankarske usluge i usl.platnog prometa</t>
  </si>
  <si>
    <t>Izdaci za fin. imovinu i otplate zajmova</t>
  </si>
  <si>
    <t>Kamate na oroč. sredstva i dopunska po viđenju</t>
  </si>
  <si>
    <t>Prihodi od zakupa polj. zemljišta u vlasništvu RH</t>
  </si>
  <si>
    <t>Prihodi od upravnih i administr. pristojbi, pristojbi po poseb. propisima i naknada</t>
  </si>
  <si>
    <t>Žup., grad. i općinske pristojbe i naknade</t>
  </si>
  <si>
    <t>Nak. za prijevoz za rad na terenu i odvojeni život</t>
  </si>
  <si>
    <t>Materijal i dijelovi za tekuće i invest. održavanje</t>
  </si>
  <si>
    <t>Subvencije trg. druš., obrtnicima, malim i srednjim poduz. izvan jav. sektora</t>
  </si>
  <si>
    <t>Naknade građ. i kuć. iz proračuna</t>
  </si>
  <si>
    <t>Nepredviđeni rashodi do visine pror. pričuve</t>
  </si>
  <si>
    <t>Rashodi za nabavu neproiz. dugotr. imovine</t>
  </si>
  <si>
    <t>Rashodi za nabavu proiz. dugotrajne imov.</t>
  </si>
  <si>
    <t>Dodatna ulaganja na građ. objektima</t>
  </si>
  <si>
    <t>Primici glavnice zajmova danih bankama - dugoročni</t>
  </si>
  <si>
    <t>Izdaci za finan. imovinu i otplate zajmova</t>
  </si>
  <si>
    <t>Uredska oprema i namještaj, računala</t>
  </si>
  <si>
    <t>RAZLIKA (VIŠAK/MANJAK)</t>
  </si>
  <si>
    <t>Ostvareno 2013.</t>
  </si>
  <si>
    <t>Plan     2014.</t>
  </si>
  <si>
    <t>Procjena 2014.</t>
  </si>
  <si>
    <t>Plan     2015.</t>
  </si>
  <si>
    <t>II. POSEBNI DIO</t>
  </si>
  <si>
    <t>Šifra programska</t>
  </si>
  <si>
    <t>VRSTA RASHODA/IZDATAKA</t>
  </si>
  <si>
    <t>PLAN 2015.</t>
  </si>
  <si>
    <t>PRIJEDLOG PLANA ZA 2016.</t>
  </si>
  <si>
    <t>PROJEKCIJA PLANA ZA 2017.</t>
  </si>
  <si>
    <t>PROJEKCIJA PLANA ZA 2018.</t>
  </si>
  <si>
    <t>FUNKCIJSKA KLASIFIKACIJA: 01 OPĆE JAVNE USLUGE</t>
  </si>
  <si>
    <t>Izvor prihoda: 01 Opći prihodi, 02 Vlastiti prihodi</t>
  </si>
  <si>
    <t xml:space="preserve">Materijalni rashodi </t>
  </si>
  <si>
    <t>FUNKCIJSKA KLASIFIKACIJA:01 OPĆE JAVNE USLUGE</t>
  </si>
  <si>
    <t>Izvor prihoda: 01 Opći prihodi,  04 Pomoći</t>
  </si>
  <si>
    <t>Plaće (bruto)</t>
  </si>
  <si>
    <t>Plaće za redovan rad</t>
  </si>
  <si>
    <t>Doprinosi za obvezno zdravstveno osiguranje</t>
  </si>
  <si>
    <t>Doprinosi za obvezno osiguranje u slučaju nezaposlenosti</t>
  </si>
  <si>
    <t xml:space="preserve">Ostale naknade troškova zaposlenima (korištenje priv.aut.) </t>
  </si>
  <si>
    <t>Izvor prihoda: 01 Opći prihodi, 02 Vlastiti prihodi, 03 Prih. za pos.namjene</t>
  </si>
  <si>
    <t>Materijal i dijelovi za tekuće i investicijsko održavanje</t>
  </si>
  <si>
    <t>Sitan inventar</t>
  </si>
  <si>
    <t>Usluge tekućeg i investicijskog održavanja gr.objekata</t>
  </si>
  <si>
    <t>Zdravstvene i veterinarske usluge (obvezni i preventivni pregled zaposlenika)</t>
  </si>
  <si>
    <t>Pristojbe i naknade (jav.bilj.,sudske pristojbe)</t>
  </si>
  <si>
    <t>Troškovi sudskih postupaka</t>
  </si>
  <si>
    <t>Izvor prihoda: 03 Prihodi za posebne namjene</t>
  </si>
  <si>
    <t>Ulaganja u računalne programe</t>
  </si>
  <si>
    <t>Izvor prihoda: 01 Opći prihodi</t>
  </si>
  <si>
    <t xml:space="preserve">Ostali rashodi </t>
  </si>
  <si>
    <t>Kazne,penali i naknade štete</t>
  </si>
  <si>
    <t>Naknade šteta pravnim i fizičkim osobama</t>
  </si>
  <si>
    <t>GLAVA 0-03: ODGOJ I OBRAZOVANJE</t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</si>
  <si>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PREDŠKOLSKI ODGOJ</t>
    </r>
  </si>
  <si>
    <t>FUNKCIJSKA KLASIFIKACIJA: 09 OBRAZOVANJE</t>
  </si>
  <si>
    <t xml:space="preserve">Izvor prihoda: 01 Opći prihodi, 04 Pomoći 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</si>
  <si>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OSNOVNO ŠKOLSTVO</t>
    </r>
  </si>
  <si>
    <t>Ostale tekuće donacije u naravi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</si>
  <si>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TEKUĆI PROGRAMI SOCIJALNE SKRBI</t>
    </r>
  </si>
  <si>
    <t>FUNKCIJSKA KLASIFIKACIJA: 10 SOCIJALNA ZAŠTITA</t>
  </si>
  <si>
    <t>Izvor prihoda: 01 Opći prihodi, 03 Prihodi za posebne namjene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</si>
  <si>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DODATNE USLUGE U ZDRAVSTVU I PREVENTIVA</t>
    </r>
  </si>
  <si>
    <t>FUNKCIJSKA KLASIFIKACIJA: 07 ZDRAVSTVO</t>
  </si>
  <si>
    <r>
      <rPr>
        <b/>
        <sz val="13"/>
        <rFont val="Arial"/>
        <family val="2"/>
      </rPr>
      <t>GLAVA 0-05:</t>
    </r>
    <r>
      <rPr>
        <sz val="13"/>
        <rFont val="Arial"/>
        <family val="2"/>
      </rPr>
      <t xml:space="preserve"> VATROGASTVO, CIVILNA ZAŠTITA I PROTUGRADNA OBRANA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</si>
  <si>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OD POŽARA I CIVILNA ZAŠTITA</t>
    </r>
  </si>
  <si>
    <t>FUNKCIJSKA KLASIFIKACIJA: 03 JAVNI RED I SIGURNOST</t>
  </si>
  <si>
    <t>Izvor prihoda: 02 Vlastiti prihodi,03 Prihodi za posebne namjene</t>
  </si>
  <si>
    <t>Usluge čuvanja imovine i osoba (JVP, DVD)</t>
  </si>
  <si>
    <t>Izvor prihoda: 02 Vlastiti prihodi</t>
  </si>
  <si>
    <t>Pomoći dane u inozemstvo i unutar opće države</t>
  </si>
  <si>
    <t>Službena, radna i zaštitna odjeća</t>
  </si>
  <si>
    <t>Izvor prihoda: 01 Opći prihodi, 02 Vlastiti prihodi,03 Prih.za pos.namjene</t>
  </si>
  <si>
    <t>Intelektualne i osobne usluge (Revizija Plana zaštite)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</si>
  <si>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KAPITALNE POMOĆI UNUTAR OPĆEG PRORAČUNA</t>
    </r>
  </si>
  <si>
    <t>FUNKCIJSKA KLASIFIKACIJA: 04 EKONOMSKI POSLOVI</t>
  </si>
  <si>
    <t>Kapitalne pomoći proračunima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</si>
  <si>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SPORT</t>
    </r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</si>
  <si>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KULTURA</t>
    </r>
  </si>
  <si>
    <t>FUNKCIJSKA KLASIF. 08 REKREACIJA, KULTURA I RELIGIJA</t>
  </si>
  <si>
    <t>Tekuće donacije udrugama</t>
  </si>
  <si>
    <t>Kapitalne donacije ostalim neprofitnim organizacijama</t>
  </si>
  <si>
    <t>Izvor prihoda: 01 Opći prihodi. 02 Vlastiti prihodi</t>
  </si>
  <si>
    <t>Rashodi protokola</t>
  </si>
  <si>
    <t>Donacije</t>
  </si>
  <si>
    <r>
      <rPr>
        <b/>
        <sz val="12"/>
        <rFont val="Arial"/>
        <family val="2"/>
      </rPr>
      <t xml:space="preserve">PROGRAM 0003: </t>
    </r>
    <r>
      <rPr>
        <sz val="12"/>
        <rFont val="Arial"/>
        <family val="2"/>
      </rPr>
      <t>RELIGIJA</t>
    </r>
  </si>
  <si>
    <t>FUNKCIJSKA KLASIF: 08 REKREACIJA, KULTURA I RELIGIJA</t>
  </si>
  <si>
    <t>Kapitalne donacije vjerskim zajednicama</t>
  </si>
  <si>
    <r>
      <rPr>
        <b/>
        <sz val="12"/>
        <rFont val="Arial"/>
        <family val="2"/>
      </rPr>
      <t>PROGRAM 0004:</t>
    </r>
    <r>
      <rPr>
        <sz val="12"/>
        <rFont val="Arial"/>
        <family val="2"/>
      </rPr>
      <t xml:space="preserve"> RAD UDURGA GRAĐANA</t>
    </r>
  </si>
  <si>
    <t>Kapitalne donacije udrugama</t>
  </si>
  <si>
    <r>
      <rPr>
        <b/>
        <sz val="13"/>
        <rFont val="Arial"/>
        <family val="2"/>
      </rPr>
      <t>GLAVA 0-07</t>
    </r>
    <r>
      <rPr>
        <sz val="13"/>
        <rFont val="Arial"/>
        <family val="2"/>
      </rPr>
      <t>: ZAŠTITA OKOLIŠA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</si>
  <si>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OKOLIŠA</t>
    </r>
  </si>
  <si>
    <t>FUNKCIJSKA KLASIFIKACIJA: 05 ZAŠTITA OKOLIŠA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</si>
  <si>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ODRŽAVANJE KOMUNALNE INFRASTRUKTURE</t>
    </r>
  </si>
  <si>
    <t>Ostale usluge tekućeg održavanja</t>
  </si>
  <si>
    <t>Izvor prihoda: 03 Prihodi za posebne namjene,04 Pomoći,</t>
  </si>
  <si>
    <t>Izvor prihoda: 03 Prihodi za posebne namjene,04 Pomoći</t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</si>
  <si>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IZGRADNJA OBJEKATA I UREĐENJE KOMUNALNE INFRASTRUKTURE</t>
    </r>
  </si>
  <si>
    <t>FUNKCIJKA KLASIFIKACIJA: 06 USLUGE UNAPREĐENJA STANOVANJA I ZAJEDNICE</t>
  </si>
  <si>
    <t>Izvor prihoda: 06 Prihodi od prodaje nefinancijske imovine</t>
  </si>
  <si>
    <t>Rashodi za nabavu neproizvedene dug.imovine</t>
  </si>
  <si>
    <t>FUNKCIJKA KLASIFIKACIJA: 05 ZAŠTITA OKOLIŠA</t>
  </si>
  <si>
    <t>Rashodi za nabavu proizvedene dug.imovine</t>
  </si>
  <si>
    <t>Ostali nespomenuti građevinski objekti</t>
  </si>
  <si>
    <t>Izvor prihoda:03 Prihodi za posebne namjene, 04 Pomoći</t>
  </si>
  <si>
    <t>Izvor prihoda: 03 Prihodi za posebne namjene 04 Pomoći, 06 Prihodi od prodaje nef.imovine</t>
  </si>
  <si>
    <t>Izvor prihoda: 06 Prihodi od prodaje nef.imovine</t>
  </si>
  <si>
    <t>FUNKCIJKA KLASIFIKACIJA: 06 USL. UNAPREĐENJA ST. I ZAJEDNICE</t>
  </si>
  <si>
    <t>Izvor prihoda:  03 Prihodi za posebne namjene</t>
  </si>
  <si>
    <t>FUN.KLASIF. 06: USL. UNAPREĐENJA STANOVANJA I ZAJED.</t>
  </si>
  <si>
    <r>
      <rPr>
        <b/>
        <sz val="13"/>
        <rFont val="Arial"/>
        <family val="2"/>
      </rPr>
      <t>GLAVA 0-09:</t>
    </r>
    <r>
      <rPr>
        <sz val="13"/>
        <rFont val="Arial"/>
        <family val="2"/>
      </rPr>
      <t xml:space="preserve"> PROSTORNO PLANIRANJE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</si>
  <si>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PROSTORNO PLANIRANJE I STANJE U PROSTORU</t>
    </r>
  </si>
  <si>
    <t>Dokumenti prostornog uređenja</t>
  </si>
  <si>
    <t>FUNKCIJKA KLASIF.: 06 USL. UNAPREĐENJA STAN. I ZAJEDNICE</t>
  </si>
  <si>
    <t>Kapitalne pomoći</t>
  </si>
  <si>
    <t>Kapitalne pomoći trg.društvima izvan javnog sektora</t>
  </si>
  <si>
    <t>Umjetnička, literarna i znansvena djela</t>
  </si>
  <si>
    <t>Rashodi za dodatna ulaganja na nefinan. imovini</t>
  </si>
  <si>
    <t>Kamate na primljene kredite i zajmove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</si>
  <si>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REDOVNA DJELATNOST PREDSTAVNIČKOG TIJELA</t>
    </r>
  </si>
  <si>
    <r>
      <rPr>
        <b/>
        <sz val="12"/>
        <rFont val="Arial"/>
        <family val="2"/>
        <charset val="238"/>
      </rPr>
      <t>PROGRAM 0002:</t>
    </r>
    <r>
      <rPr>
        <sz val="12"/>
        <rFont val="Arial"/>
        <family val="2"/>
        <charset val="238"/>
      </rPr>
      <t xml:space="preserve"> REDOVNA DJELATNOST IZVRŠNOG TIJELA</t>
    </r>
  </si>
  <si>
    <t>GLAVA 0-01: PREDSTAVNIČKA I IZVRŠANA TIJELA</t>
  </si>
  <si>
    <t>GLAVA 0-02: TEKUĆI PROGRAMI JEDINSTVENOG UPRAVNOG ODJELA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</si>
  <si>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JAVNA UPRAVA I ADMINISTRACIJA</t>
    </r>
  </si>
  <si>
    <t>AKTIVNOST: 01 - RASHODI ZA ZAPOSLENE</t>
  </si>
  <si>
    <r>
      <rPr>
        <b/>
        <sz val="13"/>
        <rFont val="Arial"/>
        <family val="2"/>
      </rPr>
      <t>GLAVA 0-04</t>
    </r>
    <r>
      <rPr>
        <sz val="13"/>
        <rFont val="Arial"/>
        <family val="2"/>
      </rPr>
      <t>: SOCIJALNA SKRB I ZDRAVSTVO</t>
    </r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</si>
  <si>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VISOKO OBRAZOVANJE</t>
    </r>
  </si>
  <si>
    <t>Naknade građanima i kućanstvima</t>
  </si>
  <si>
    <t>Ostale naknade građanima i kućanstvima iz proračuna</t>
  </si>
  <si>
    <t>Stipendije i školarine</t>
  </si>
  <si>
    <t>Rashodi za nabavkuproizvedene dugotrajne imovine</t>
  </si>
  <si>
    <t>Tekuće donacije u novcu (HGSS I CK)</t>
  </si>
  <si>
    <t>Posebni dio Proračuna sastoji se od plana rashoda i izdataka iskazanih po vrstama, raspoređenih u programe, koji se sastoje od aktivnosti i projekata, kako slijedi:</t>
  </si>
  <si>
    <r>
      <rPr>
        <b/>
        <sz val="13"/>
        <rFont val="Arial"/>
        <family val="2"/>
      </rPr>
      <t>GLAVA 0-06:</t>
    </r>
    <r>
      <rPr>
        <sz val="13"/>
        <rFont val="Arial"/>
        <family val="2"/>
      </rPr>
      <t xml:space="preserve"> PROMICANJE DRUŠTVENIH DJELATNOSTI</t>
    </r>
  </si>
  <si>
    <r>
      <rPr>
        <b/>
        <sz val="13"/>
        <rFont val="Arial"/>
        <family val="2"/>
      </rPr>
      <t xml:space="preserve">GLAVA 0-08: </t>
    </r>
    <r>
      <rPr>
        <sz val="13"/>
        <rFont val="Arial"/>
        <family val="2"/>
      </rPr>
      <t>UPRAVLJANJE IMOVINOM</t>
    </r>
  </si>
  <si>
    <t>Ceste i ostali slični objekti</t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</si>
  <si>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ODRŽAVANJE I IZGRADNJA GRAĐ. OBJEKATA</t>
    </r>
  </si>
  <si>
    <r>
      <rPr>
        <b/>
        <sz val="13"/>
        <rFont val="Arial"/>
        <family val="2"/>
      </rPr>
      <t>GLAVA 0-10:</t>
    </r>
    <r>
      <rPr>
        <sz val="13"/>
        <rFont val="Arial"/>
        <family val="2"/>
      </rPr>
      <t xml:space="preserve"> JAČANJE GOSPODARSTVA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</si>
  <si>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LAG "SLAVONSKI RAVNICA"</t>
    </r>
  </si>
  <si>
    <t>Članarina LAG</t>
  </si>
  <si>
    <r>
      <t xml:space="preserve">RAZDJEL 010-0: </t>
    </r>
    <r>
      <rPr>
        <sz val="13"/>
        <rFont val="Arial"/>
        <family val="2"/>
        <charset val="238"/>
      </rPr>
      <t>JEDINSTVENI UPRAVNI ODJEL, OPĆINSKA PREDSTAVNIČKA I IZVRŠNA TIJELA</t>
    </r>
  </si>
  <si>
    <t>Izvor prihoda: 03 Prihodi za posebne namjene, 06 Prihodi od nefin. imov.</t>
  </si>
  <si>
    <t>AKTIVNOST: 02 - OPĆI POSLOVI OPĆINSKE UPRAVE</t>
  </si>
  <si>
    <t>AKTIVNOST: 01 - SREDSTVA ZA RAD OPĆINSKOG VIJEĆA</t>
  </si>
  <si>
    <t>0001-01</t>
  </si>
  <si>
    <t>0002-01</t>
  </si>
  <si>
    <t>AKTIVNOST: 01 - SREDSTVA ZA RAD OPĆ. NAČELNIKA</t>
  </si>
  <si>
    <t>AKTIVNOST: 03 - NABAVKA PROIZVEDENE IMOVINE</t>
  </si>
  <si>
    <t>AKTIVNOST: 04 - INFORMATIZACIJA POSLOVANJA</t>
  </si>
  <si>
    <t>AKTIVNOST: 05 - PROVEDBA ZAKONA O ZAŠTITI NA RADU</t>
  </si>
  <si>
    <t xml:space="preserve">AKTIVNOST: 06 - NAKNADA ŠTETE </t>
  </si>
  <si>
    <t>AKTIVNOST: 01 - "MALA ŠKOLA"</t>
  </si>
  <si>
    <t>AKTIVNOST: 01 - DONACIJE PODRUČNIM ŠKOLAMA</t>
  </si>
  <si>
    <t>AKTIVNOST: 02 - SUFINANCIRANJE LJETOVANJA UČENIKA</t>
  </si>
  <si>
    <t>AKTIVNOST: 03 - FINAN. ŠK. PRIBORA UČENICIMA 1.RAZ.</t>
  </si>
  <si>
    <t>AKTIVNOST: 01 - STIPENDIRANJE STUDENATA</t>
  </si>
  <si>
    <t>AKTIVNOST: 01 - POMOĆ SOC.UGROŽENIM OBITELJIMA I RODITELJIMA NOVOROĐENE DJECE</t>
  </si>
  <si>
    <t>AKTIVNOST: 02 - JEDNOKRATNA POMOĆ OBITELJIMA POGINULIH HRVATSKIH BRANITELJA</t>
  </si>
  <si>
    <t>0001-02</t>
  </si>
  <si>
    <t>0001-03</t>
  </si>
  <si>
    <t>0001-04</t>
  </si>
  <si>
    <t>0001-05</t>
  </si>
  <si>
    <t>0001-06</t>
  </si>
  <si>
    <t>0002-02</t>
  </si>
  <si>
    <t>0002-03</t>
  </si>
  <si>
    <t>0003-01</t>
  </si>
  <si>
    <t>AKTIVNOST: 01 - DERATIZACIJA I DEZINSEKCIJA</t>
  </si>
  <si>
    <t>AKTIVNOST: 01 - ZAŠTITA OD POŽARA</t>
  </si>
  <si>
    <t>AKTIVNOST: 02 - SUSTAV ZAŠTITE I SPAŠAVANJA</t>
  </si>
  <si>
    <t>AKTIVNOST: 03 - CIVILNA ZAŠT.- OPREMANJE POSTROJBE</t>
  </si>
  <si>
    <t>AKTIVNOST: 04 - PRIMJENA ZAKONA O ZAŠTITI STANOVNIŠTVA I MATERIJALNIH DOBARA</t>
  </si>
  <si>
    <t>AKTIVNOST: 01 - PROTUGRADNA OBRANA</t>
  </si>
  <si>
    <t>AKTIVNOST: 01 - REDOVNO DJELOVANJE SPORTSKIH DR.</t>
  </si>
  <si>
    <t>AKTIVNOST: 01 - MANIFESTACIJE (turniri, koncerti, smotre)</t>
  </si>
  <si>
    <t>AKTIVNOST: 02 - IZDAVANJE KNJIGE LUKE LUKIĆA</t>
  </si>
  <si>
    <t>AKTIVNOST: 03 - OBILJEŽAVANJE DANA OPĆINE</t>
  </si>
  <si>
    <t>AKTIVNOST: 01 - SURADNJA S VJERSKIM ZAJEDNICAMA</t>
  </si>
  <si>
    <t>AKTIVNOST: 01 - DJELATNOSTI UDRUGA GRAĐANA</t>
  </si>
  <si>
    <t>AKTIVNOST: 01 - SANACIJA DIVLJIH ODLAGALIŠTA</t>
  </si>
  <si>
    <t>AKTIVNOST: 01 - RASHODI ZA JAVNU RASVJETU</t>
  </si>
  <si>
    <t>AKTIVNOST: 02 - ODRŽAVANJE GROBLJA</t>
  </si>
  <si>
    <t>AKTIVNOST: 03 - NERAZVRSTANE CESTE I JAVNE POVR.</t>
  </si>
  <si>
    <t>AKTIVNOST: 04 - TEKUĆE ODRŽ. OSTALE NENAVEDENE KOMUNALNE INFRASTRUKTURE</t>
  </si>
  <si>
    <t>PROJEKT: 01 - OTKUP ZEMLJIŠTA ZA IZGRADNJU OBJEKATA I UREĐENJE KOMUNALNE INFRASTRUK.</t>
  </si>
  <si>
    <t>PROJEKT: 02 - IZGRADNJA ODVODNJE NA PODR. OPĆINE</t>
  </si>
  <si>
    <t>PROJEKT: 03 - IZGRADNJA VODOOPSKRBNOG SUS. OPĆ.</t>
  </si>
  <si>
    <t>PROJEKT: 04 - MODERNIZACIJA JAVNE RASVJETE</t>
  </si>
  <si>
    <t>PROJEKT: 05 - IZGRADNJA CESTA,NOGOSTUPA I UGIBAL.</t>
  </si>
  <si>
    <t>PROJEKT: 01 - TEK. ODRŽ. I OPREMANJE GRAĐ. OBJEK.</t>
  </si>
  <si>
    <t>PROJEKT: 02 - IZGRADNJA NOVE OPĆINSKE ZGRADE</t>
  </si>
  <si>
    <t>PROJEKT: 03 - DOGRADNJA DRUŠTV. DOMA G.BEBRINA</t>
  </si>
  <si>
    <t xml:space="preserve">PROJEKT: 01 - PR. PLANIRANJE OPĆINE - IZRADA PPU </t>
  </si>
  <si>
    <t>AKTIVNOST: 01 - SUF. RADA LAG "SLAVONSKA RAVNICA"</t>
  </si>
  <si>
    <t>INDEKS 6/5</t>
  </si>
  <si>
    <t>FUNKCIJKA KLAS.: 06 USL. UNAPREĐENJA ST. I ZAJEDNICE</t>
  </si>
  <si>
    <t>INDEKS 7/6</t>
  </si>
  <si>
    <t>Naknade za rad pred.i izvrš. tijela, povjerenstava i sl.</t>
  </si>
  <si>
    <t>Povrat poreza i prireza na dohodak po god. prijavi</t>
  </si>
  <si>
    <t>Porez i prirez na dohodak od imovine i imov. prava</t>
  </si>
  <si>
    <t>0004-01</t>
  </si>
  <si>
    <t>0002-04</t>
  </si>
  <si>
    <t>0002-05</t>
  </si>
  <si>
    <t>0003-02</t>
  </si>
  <si>
    <t>0003-03</t>
  </si>
  <si>
    <t>0003-04</t>
  </si>
  <si>
    <t>PROJEKT: 04 - NOVI DRUŠTVENI DOM U RUŠČICI</t>
  </si>
  <si>
    <t>PROJEKT: 05 - IZGRADNJA ZMG "BIĐEVI", RUŠ.</t>
  </si>
  <si>
    <t>0003-05</t>
  </si>
  <si>
    <t>PROJEKT: 06 - IZGRADNJA GOSP. ZONE "JELAS", RUŠ.</t>
  </si>
  <si>
    <t>0003-06</t>
  </si>
  <si>
    <t>0003-07</t>
  </si>
  <si>
    <t>PROJEKT: 07 - SPORTSKI I REKREACIJSKI TERENI</t>
  </si>
  <si>
    <t>PRIHODI UKUPNO</t>
  </si>
  <si>
    <t>RASHODI UKUPNO</t>
  </si>
  <si>
    <t>Naknade troš. osobama izvan radnog odnosa</t>
  </si>
  <si>
    <t>Rashodi za dodatna ulaganja na nefin. imovini</t>
  </si>
  <si>
    <t>02</t>
  </si>
  <si>
    <t>03</t>
  </si>
  <si>
    <t>04</t>
  </si>
  <si>
    <t>05</t>
  </si>
  <si>
    <t>06</t>
  </si>
  <si>
    <t>07</t>
  </si>
  <si>
    <t>Pomoći od izvanproračunskih korisnika</t>
  </si>
  <si>
    <t>Pomoći iz državnog proračuna temeljem prijenosa EU sredstava</t>
  </si>
  <si>
    <t>Kapitalne pomoći od izvanproračunskih korisnika</t>
  </si>
  <si>
    <t>Tekuće pomoći od izvanproračunskih korisnika</t>
  </si>
  <si>
    <t>Tekuće pomoći iz državnog proračuna temeljem prijenosa EU sredstava</t>
  </si>
  <si>
    <t>OPĆINA GORNJA VRBA</t>
  </si>
  <si>
    <t>Braće Radić1, Gornja Vrba</t>
  </si>
  <si>
    <t>OIB 57288773562</t>
  </si>
  <si>
    <t>Tekuće pomoći Proračuna iz drugih proračuna</t>
  </si>
  <si>
    <t>Kapitalne pomoći iz državnog proračuna temeljem prijenosa EU sredstava</t>
  </si>
  <si>
    <t xml:space="preserve">Ostale nespomenut naknade i pristojbe </t>
  </si>
  <si>
    <t>Kazne, upravne mjere i ostali prihodi</t>
  </si>
  <si>
    <t>Kazne i upravne mjere</t>
  </si>
  <si>
    <t>Ostale nespomenute kazne</t>
  </si>
  <si>
    <t xml:space="preserve">Prihodi od prodaje materijalne imovine </t>
  </si>
  <si>
    <t>Subvencije trg. društvima i zadrugama izvan javnog sektora</t>
  </si>
  <si>
    <t>Sportska i glazbena oprema</t>
  </si>
  <si>
    <t>Ostala nematerijalna proizvedena imovina</t>
  </si>
  <si>
    <t>AKTIVNOST 01: JAVNA UPRAVA I ADMINISTRACIJA</t>
  </si>
  <si>
    <t>T001010101</t>
  </si>
  <si>
    <t>T001010102</t>
  </si>
  <si>
    <t>Službena, radna i zaštitna odjeća i obuća</t>
  </si>
  <si>
    <t>Usluge tekućeg i investicijskog održavanja post.i opreme</t>
  </si>
  <si>
    <t>Obvezni i preventivni pregledi zaposlenika</t>
  </si>
  <si>
    <t>T001010103</t>
  </si>
  <si>
    <t>T001010104</t>
  </si>
  <si>
    <t>T001010105</t>
  </si>
  <si>
    <t>T001010106</t>
  </si>
  <si>
    <t xml:space="preserve"> </t>
  </si>
  <si>
    <t>Tekuće donacije udrugama i političkim strankama</t>
  </si>
  <si>
    <t>Subvencije trg.društvima,poljoprivrednicima i obrtnicima</t>
  </si>
  <si>
    <t>Subvencije trgovačkim društvima izvan javnog sektora</t>
  </si>
  <si>
    <t>Ostale tekuće donacije u novcu</t>
  </si>
  <si>
    <t xml:space="preserve">Ostale tekuće donacije u novcu  </t>
  </si>
  <si>
    <t xml:space="preserve">Ostala nematerijalna prizvedena imovina </t>
  </si>
  <si>
    <t>Službena , radna i zaštitna odjeća</t>
  </si>
  <si>
    <t>FUNKCIJSKA KLASIFIKACIJA: 06 USLUGE UNAPREĐENJA STANOVANJA I ZAJEDNICE</t>
  </si>
  <si>
    <t>FUN.KLASIF. 06 USLUGE UNAPREĐENJA STANOVANJA I ZAJED.</t>
  </si>
  <si>
    <t>Komunalne usluge održavanja groblja</t>
  </si>
  <si>
    <t>Višak prihoda</t>
  </si>
  <si>
    <t>Manjak primitaka</t>
  </si>
  <si>
    <t>Izrada centralnog križa</t>
  </si>
  <si>
    <t>Naknade građanima i kućanstvima u novcu - studentske stipendije</t>
  </si>
  <si>
    <t>Naknade građanima i kućanstvima u naravi - sufinanciranje javnog prijevoza za učenike, studente, umirovljenike i dr.</t>
  </si>
  <si>
    <t xml:space="preserve">Naknade građanima i kućanstvima u naravi - sufinanciranje nabave školskog pribora i radnih bilježnica za učenike </t>
  </si>
  <si>
    <t>Tekuće donacije vatrogastvu</t>
  </si>
  <si>
    <t>AKTIVNOST 02: OPĆI POSLOVI OPĆINSKE UPRAVE</t>
  </si>
  <si>
    <t>AKTIVNOST 03: NABAVKA PROIZVEDENE IMOVINE</t>
  </si>
  <si>
    <t>AKTIVNOST 04: INFORMATIZACIJA POSLOVANJA</t>
  </si>
  <si>
    <t>AKTIVNOST 05: PROVEDBA ZAKONA O ZAŠTITI NA RADU</t>
  </si>
  <si>
    <t xml:space="preserve">AKTIVNOST 06: NAKNADA ŠTETE </t>
  </si>
  <si>
    <t>AKTIVNOST 02: POTICANJE GOSPODARSKOG RAZVOJA NA PODRUČJU OPĆINE GORNJA VRBA</t>
  </si>
  <si>
    <t>AKTIVNOST 01: PROVOĐENJE PREDŠKOLSKOG MINIMUMA</t>
  </si>
  <si>
    <t>AKTIVNOST 01: OSNOVNO ŠKOLSTVO</t>
  </si>
  <si>
    <t>AKTIVNOST 01: RAD S DJECOM S POSEBNIM POTREBAMA</t>
  </si>
  <si>
    <t>AKTIVNOST 01: POMOĆ SOC.UGROŽENIM OBITELJIMA, STUDENTIMA I NOVOROĐENOJ DJECI</t>
  </si>
  <si>
    <t xml:space="preserve">AKTIVNOST 02: VETERINARSKE USLUGE </t>
  </si>
  <si>
    <t>AKTIVNOST 01: ZAŠTITA OD POŽARA</t>
  </si>
  <si>
    <t>AKTIVNOST 02: PLAN ZAŠTITE OD POŽARA</t>
  </si>
  <si>
    <t>FUNKCIJSKA KLASIF.: 08 REKREACIJA, KULTURA I RELIGIJA</t>
  </si>
  <si>
    <t>AKTIVNOST 02: OBILJEŽAVANJE DANA OPĆINE</t>
  </si>
  <si>
    <t>AKTIVNOST 01: SUF.KUD-a VRBA I DR.UDRUGA U KULTURI</t>
  </si>
  <si>
    <t>AKTIVNOST 01: SURADNJA S POLITIČKIM ORGANIZACIJAMA</t>
  </si>
  <si>
    <t>AKTIVNOST 01: SURADNJA S VJERSKIM ZAJEDNICAMA</t>
  </si>
  <si>
    <t>AKTIVNOST 02: POMOĆI UDRUGAMA GRAĐANA</t>
  </si>
  <si>
    <t>AKTIVNOST 01: GOSPODARENJE OTPADOM</t>
  </si>
  <si>
    <t>AKTIVNOST 01: RASHODI ZA UREĐAJE I JAVNU RASVJETU</t>
  </si>
  <si>
    <t xml:space="preserve">AKTIVNOST 03: NERAZVRSTANE CESTE </t>
  </si>
  <si>
    <t>PROJEKT 01: OSIGURANJE ZEMLJIŠTA ZA IZGRADNJU OBJEKATA I UREĐENJE KOMUNALNE INFRASTRUKTURE</t>
  </si>
  <si>
    <t>PROJEKT 02: MODERNIZACIJA JAVNE RASVJETE</t>
  </si>
  <si>
    <t xml:space="preserve">PROJEKT 03: MODERNIZACIJA KOLNIKA </t>
  </si>
  <si>
    <t>RAZDJEL 001: OPĆINA GORNJA VRBA</t>
  </si>
  <si>
    <t>GLAVA 01: PROGRAMI JEDINSTVENOG UPR.ODJELA, OPĆINSKOG NAČELNIKA I OPĆINSKOG VIJEĆA</t>
  </si>
  <si>
    <t>PROGRAM 03: PROVOĐENJE LOKALNIH IZBORA</t>
  </si>
  <si>
    <t>T001010201</t>
  </si>
  <si>
    <t>T001010301</t>
  </si>
  <si>
    <t>T001010401</t>
  </si>
  <si>
    <t>T001010501</t>
  </si>
  <si>
    <t>T001010601</t>
  </si>
  <si>
    <t>T001010701</t>
  </si>
  <si>
    <t>T001010801</t>
  </si>
  <si>
    <t>T001010901</t>
  </si>
  <si>
    <t>AKTIVNOST 01: DERATIZACIJA i DEZINSEKCIJA</t>
  </si>
  <si>
    <t>T001011001</t>
  </si>
  <si>
    <t>T001011101</t>
  </si>
  <si>
    <t>T001011201</t>
  </si>
  <si>
    <t>T001011301</t>
  </si>
  <si>
    <t>T001011601</t>
  </si>
  <si>
    <t>T001011602</t>
  </si>
  <si>
    <t>T001011802</t>
  </si>
  <si>
    <t>K001011901</t>
  </si>
  <si>
    <t>K001011902</t>
  </si>
  <si>
    <t>K001012004</t>
  </si>
  <si>
    <t>K001012008</t>
  </si>
  <si>
    <t>T001012101</t>
  </si>
  <si>
    <t>AKTIVNOST 01: POTICANJE PROIZVODNIH DJELAT. U GOSPODARSKOJ ZONI</t>
  </si>
  <si>
    <t>AKTIVNOST 01: REDOVNO DJELOVANJE SPORT. UDRUGA</t>
  </si>
  <si>
    <t>AKTIVNOST 02: NABAVKA POSUDA ZA ODVOJENO PRIKUPLJANJE OTPADA</t>
  </si>
  <si>
    <t>PROJEKT 04: POMOĆI TRG. DRUŠ. U JAVNOM SEKTORU ZA IZGRADNJU KOMUNALNO-VODNIH GRAĐEVINA</t>
  </si>
  <si>
    <t>FUNK. KLASIF.: 06 USLUGE UNAPREĐ. STANOVANJA I ZAJEDNICE</t>
  </si>
  <si>
    <t>Naknade građanima i kućanstvima u novcu - jednokr. novčane pomoći za socijalno ugrožene obitelji, božićnica i uskrsnica umirovljenicima</t>
  </si>
  <si>
    <t>Umjetnička, literarna i znanstvena djela</t>
  </si>
  <si>
    <t>Dio koji će se rasporediti/pokriti u razdoblju</t>
  </si>
  <si>
    <t>Ukupan donos viška iz prethodnih godina</t>
  </si>
  <si>
    <t>Modernizacija kolnika na području Općine Gornja Vrba</t>
  </si>
  <si>
    <t>II. POSEBNI DIO PRORAČUNA - OPĆINA GORNJA VRBA</t>
  </si>
  <si>
    <t>2023.</t>
  </si>
  <si>
    <t>Prihodi od pruženih usluga</t>
  </si>
  <si>
    <t>Prihodi od pruženih usluga (10% NUV)</t>
  </si>
  <si>
    <t>Subvencije poljoprivrednicima i obrtnicima - poticanje poduzetništva</t>
  </si>
  <si>
    <t>Rashodi za dodatna ulaganja na nefinancijskoj imovini</t>
  </si>
  <si>
    <t>Tekuće donacije udrugama (CK)</t>
  </si>
  <si>
    <t>Kapitalne pomoći kreditnim i ostalim financijskim institucijama te trgovačkim društvima unutar javnog sektora</t>
  </si>
  <si>
    <t>Kapitalne pomoći kreditnim i ostalim financijskim institucijama te trgovačkim društvima unutar javnog sektora - projekt BROD2</t>
  </si>
  <si>
    <t>Kapitalne pom.trg.društvima unutar javnog sektora</t>
  </si>
  <si>
    <t>Otplata glavnice primljenih zajmova od trgovačkih društava izvan jav. sek.</t>
  </si>
  <si>
    <t>Prihodi od zakupa zemljišta u vl. općine</t>
  </si>
  <si>
    <t>AKTIVNOST 01: PLAĆE ZAPOSLENIH</t>
  </si>
  <si>
    <t>T001012401</t>
  </si>
  <si>
    <t>Naknade za prijevoz</t>
  </si>
  <si>
    <t>AKTIVNOST 01: RAD OPĆ. VIJEĆA , OPĆ.NAČELNIKA</t>
  </si>
  <si>
    <t>1 - Opći prihodi i primici</t>
  </si>
  <si>
    <t>2 - Doprinosi</t>
  </si>
  <si>
    <t>3 - Vlastiti prihodi</t>
  </si>
  <si>
    <t>4 - Prihodi za posebne namjene</t>
  </si>
  <si>
    <t>5 - Pomoći</t>
  </si>
  <si>
    <t>6 - Donacije</t>
  </si>
  <si>
    <t>7 - Prihodi od prodaje ili zamjene nefinancijske imovine i naknade s naslova osiguranja</t>
  </si>
  <si>
    <t>ŠIFRARNIK IZVORA FINANCIRANJA:</t>
  </si>
  <si>
    <t>IZVOR FINANCIRANJA</t>
  </si>
  <si>
    <t>I. OPĆI DIO - SAŽETAK</t>
  </si>
  <si>
    <t>PROGRAM 01: JAVNA UPRAVA I ADMINISTRACIJA</t>
  </si>
  <si>
    <t>Intelektualne i osobne usluge (IN KONZALTING)</t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</si>
  <si>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      (u EURIMA)</t>
    </r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</si>
  <si>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(u KUNAMA)</t>
    </r>
  </si>
  <si>
    <t>Naknade u novcu - dar roditeljima za novorođenu djecu</t>
  </si>
  <si>
    <t>Naknade u novcu - pomoć roditeljima srednjoškolaca</t>
  </si>
  <si>
    <t>Naknade u novcu - pomoć mladim obiteljima za kupnju nekretnine</t>
  </si>
  <si>
    <t>Naknade u naravi - sufinanciranje boravka djece u vrtiću</t>
  </si>
  <si>
    <t>Naknade u naravi - sufinanciranje priključaka na kanalizaciju</t>
  </si>
  <si>
    <t>Napomena: Redak UKUPAN DONOS VIŠKA/MANJKA IZ PRETHODNE(IH) GODINA služi kao informacija i ne uzima se u obzir kod uravnoteženja proračuna, već se proračun uravnotežuje retkom DIO KOJI ĆE SE RASPOREDITI/POKRITI U RAZDOBLJU.</t>
  </si>
  <si>
    <t>A)  SAŽETAK RAČUNA PRIHODA I RASHODA</t>
  </si>
  <si>
    <t>B)  SAŽETAK RAČUNA FINANCIRANJA</t>
  </si>
  <si>
    <t>C) PRENESENI VIŠAK ILI PRENESENI MANJAK I VIŠEGODIŠNJI PLAN URAVNOTEŽENJA</t>
  </si>
  <si>
    <t>PROGRAM 02: REDOVNA DJELATNOST PREDSTAVNIČKIH I              IZVRŠNIH TIJELA JLS</t>
  </si>
  <si>
    <r>
      <t>PROJEKCIJA    ZA 2025</t>
    </r>
    <r>
      <rPr>
        <b/>
        <sz val="14"/>
        <color rgb="FFFF0000"/>
        <rFont val="Arial"/>
        <family val="2"/>
        <charset val="238"/>
      </rPr>
      <t>.</t>
    </r>
    <r>
      <rPr>
        <sz val="14"/>
        <color rgb="FFFF0000"/>
        <rFont val="Arial"/>
        <family val="2"/>
        <charset val="238"/>
      </rPr>
      <t xml:space="preserve">                          (u HRK)</t>
    </r>
  </si>
  <si>
    <t>AKTIVNOST 02: SUFINANCIRANJE TROŠKOVA</t>
  </si>
  <si>
    <t>AKTIVNOST 03: HUMANITARNA SKRB KROZ UDRUGE GRAĐANA</t>
  </si>
  <si>
    <t>AKTIVNOST 04: JEDNOKRATNA PRAVA IZ ZAKONA O PRAVIMA HRV. BRANITELJA I ČLANOVA NJIHOVIH OBITELJI</t>
  </si>
  <si>
    <t>T001010902</t>
  </si>
  <si>
    <t>T001011202</t>
  </si>
  <si>
    <r>
      <t xml:space="preserve">Izvor prihoda: </t>
    </r>
    <r>
      <rPr>
        <b/>
        <sz val="11"/>
        <rFont val="Arial"/>
        <family val="2"/>
        <charset val="238"/>
      </rPr>
      <t>561 Pomoći - ESF</t>
    </r>
  </si>
  <si>
    <t>561 - ESF</t>
  </si>
  <si>
    <t>51</t>
  </si>
  <si>
    <t>521</t>
  </si>
  <si>
    <t>522</t>
  </si>
  <si>
    <t>523</t>
  </si>
  <si>
    <t>524</t>
  </si>
  <si>
    <t>4301</t>
  </si>
  <si>
    <t>4302</t>
  </si>
  <si>
    <t>4303</t>
  </si>
  <si>
    <t>4304</t>
  </si>
  <si>
    <t>4305</t>
  </si>
  <si>
    <t>4306</t>
  </si>
  <si>
    <t>31</t>
  </si>
  <si>
    <t>71</t>
  </si>
  <si>
    <t>11</t>
  </si>
  <si>
    <t>Naknada za korištenje nefin.imovine (sp.renta)</t>
  </si>
  <si>
    <t>43</t>
  </si>
  <si>
    <t>11,42</t>
  </si>
  <si>
    <t>8 - Namjenski primici od zaduživanja</t>
  </si>
  <si>
    <t>INDEKS 3/1*100</t>
  </si>
  <si>
    <t>T001011401</t>
  </si>
  <si>
    <t>T001011402</t>
  </si>
  <si>
    <t>T001011501</t>
  </si>
  <si>
    <t>K001011806</t>
  </si>
  <si>
    <t xml:space="preserve">2025.      </t>
  </si>
  <si>
    <t xml:space="preserve">Intelektualne i osobne usluge </t>
  </si>
  <si>
    <t xml:space="preserve">Rashodi za usluge </t>
  </si>
  <si>
    <t xml:space="preserve">Dodatna ulaganja na građevinskim objektima </t>
  </si>
  <si>
    <t>PROJEKT 05: ZACJEVLJENJE KANALA U ULICI VRB.ŽRTAVA, G.VRBA (SJEVERNA STRANA)</t>
  </si>
  <si>
    <t>Naknade građanima i kućanstvima u naravi - sufinanciranje školskih izleta i ljetovanja učenika, škole plivanja i terenske nastave</t>
  </si>
  <si>
    <t>Dodatna ulaganja za ostalu nefinancijsku imovinu</t>
  </si>
  <si>
    <t>Naknade u naravi - pomoć i njega u kući (Crveni križ), sufinanc. boravka u domovima za starije i nemoćne</t>
  </si>
  <si>
    <t>Izgradnja ceste na kčbr. 114/10 K.O.Vrba</t>
  </si>
  <si>
    <t>Kapitalne pomoći Proračuna iz drugih proračuna</t>
  </si>
  <si>
    <t>AKTIVNOST 02: PROMIDŽBA I VIDLJIVOST PROGRAMA</t>
  </si>
  <si>
    <t>FUNKC.KLASIF.: 06 USLUGE UNAPREĐ. STANOVANJA I ZAJEDNICE</t>
  </si>
  <si>
    <t xml:space="preserve">PROJEKT 06: IZGRADNJA KANALIZACIJE U SJEVERNOJ GOSPODARSKOJ ZONI </t>
  </si>
  <si>
    <t xml:space="preserve">AKTIVNOST 01:POMOĆ STARIJIM I NEMOĆNIM OSOBAMA  </t>
  </si>
  <si>
    <t xml:space="preserve">2025.           </t>
  </si>
  <si>
    <r>
      <t xml:space="preserve">PLAN ZA       </t>
    </r>
    <r>
      <rPr>
        <b/>
        <sz val="14"/>
        <rFont val="Arial"/>
        <family val="2"/>
        <charset val="238"/>
      </rPr>
      <t>2025.</t>
    </r>
    <r>
      <rPr>
        <sz val="14"/>
        <rFont val="Arial"/>
        <family val="2"/>
        <charset val="238"/>
      </rPr>
      <t xml:space="preserve">                          </t>
    </r>
  </si>
  <si>
    <t>AKTIVNOST 01: OSTALE TEKUĆE DONACIJE</t>
  </si>
  <si>
    <t>AKTIVNOST 01: SUFINANCIRANJE RADA PRIHVATILIŠTA ZA PSE</t>
  </si>
  <si>
    <t>,</t>
  </si>
  <si>
    <t>Dodatna ulaganja za nefinanc. imovinu</t>
  </si>
  <si>
    <t xml:space="preserve">AKTIVNOST 02: UREĐENJE GROBLJA NA PODRUČJU OPĆINE </t>
  </si>
  <si>
    <t>AKTIVNOST 01: LOKALNI IZBORI</t>
  </si>
  <si>
    <t>PROGRAM 04: SUBVENCIJE PODUZETNIŠTVU</t>
  </si>
  <si>
    <t>PROGRAM 05: PREDŠKOLSKI ODGOJ</t>
  </si>
  <si>
    <t>PROGRAM 06: OSNOVNO ŠKOLSTVO</t>
  </si>
  <si>
    <t>PROGRAM 07: RAD S DJECOM S POSEBNIM POTREBAMA</t>
  </si>
  <si>
    <t>PROGRAM 08: OSTALE DONACIJE U NOVCU</t>
  </si>
  <si>
    <t>PROGRAM 09: POMOĆI GRAĐANIMA I KUĆANSTVIMA</t>
  </si>
  <si>
    <t>PROGRAM 10: DODATNE USLUGE U ZDRAVSTVU I PREVENTIVA</t>
  </si>
  <si>
    <t>PROGRAM 11: ZAŠTITA ŽIVOTINJA</t>
  </si>
  <si>
    <t>PROGRAM 12: ZAŠTITA OD POŽARA I CIVILNA ZAŠTITA</t>
  </si>
  <si>
    <t>PROGRAM 13: SPORT</t>
  </si>
  <si>
    <t>PROGRAM 14: KULTURA</t>
  </si>
  <si>
    <t>PROGRAM 15: RELIGIJA</t>
  </si>
  <si>
    <t>PROGRAM 16: RAD UDRUGA GRAĐANA I POLIT.ORGANIZACIJA</t>
  </si>
  <si>
    <t>PROGRAM 17: ZAŠTITA OKOLIŠA</t>
  </si>
  <si>
    <t>PROGRAM 18: ODRŽAVANJE KOMUNALNE INFRASTRUKTURE</t>
  </si>
  <si>
    <t>PROGRAM 19: IZGRADNJA OBJEKATA KOMUNALNE INFRAST.</t>
  </si>
  <si>
    <t>PROGRAM 20: GRAĐEVINSKI OBJEKTI I JAVNE POVRŠINE</t>
  </si>
  <si>
    <t>AKTIVNOST 03: SUSTAV ZAŠTITE I SPAŠAVANJA - HGSS</t>
  </si>
  <si>
    <t>AKTIVNOST 04: CIVILNA ZAŠTITA - OPREMANJE POSTROJBE</t>
  </si>
  <si>
    <t>AKTIVNOST 05: PRIMJENA ZAKONA O ZAŠTITI    STANOVNIŠTVA I MATERIJALNIH DOBARA</t>
  </si>
  <si>
    <t>AKTIVNOST 04: NOGOSTUPI</t>
  </si>
  <si>
    <t xml:space="preserve">AKTIVNOST 05: JAVNE POVRŠINE </t>
  </si>
  <si>
    <t>AKTIVNOST 06: POLJSKI PUTEVI</t>
  </si>
  <si>
    <t xml:space="preserve">AKTIVNOST 08: NABAVKA I POSTAVLJANJE NATPISNIH PLOČA I PLOČA S NAZIVIMA ULICA </t>
  </si>
  <si>
    <t xml:space="preserve">AKTIVNOST 09: URBANI MOBILIJAR I PRIGODNO UKRAŠAVANJE </t>
  </si>
  <si>
    <t>AKTIVNOST 10: REKONSTRUKCIJA OPĆINSKOG TRGA (IDEJNI PROJEKT) I PARKINGA</t>
  </si>
  <si>
    <t>AKTIVNOST 11: SANACIJA KOLNIKA U UL.J.ODOBAŠIĆA U DONJOJ VRBI</t>
  </si>
  <si>
    <t>AKTIVNOST 12: SANACIJA KOLNIKA U UL.M.MESIĆA U GORNJOJ VRBI</t>
  </si>
  <si>
    <t>4320</t>
  </si>
  <si>
    <t>PROGRAM 22: "ZAŽELI III - podrška za život u zajednici",                                PROGRAM POMOĆI STARIJIM I NEMOĆNIM OSOBAMA</t>
  </si>
  <si>
    <t>PROGRAM 23: JAVNI RADOVI NA PODRUČJU OPĆINE GORNJA VRBA</t>
  </si>
  <si>
    <t>PROGRAM 21: PROSTORNO PLANIRANJE I STANJE U PROSTORU</t>
  </si>
  <si>
    <t xml:space="preserve">PROJEKT 01: IZRADA IV. IZMJENA I DOPUNA PPUO </t>
  </si>
  <si>
    <t xml:space="preserve">PROJEKT 02: IZRADA II. IZMJENA I DOPUNA UPU NASELJA GORNJA VRBA </t>
  </si>
  <si>
    <t xml:space="preserve">AKTIVNOST 07: NABAVKA I SADNJA STABALA NA JAVNOJ POVRŠINI </t>
  </si>
  <si>
    <t>Izvor prihoda: 01 Opći prihodi i primici</t>
  </si>
  <si>
    <t>Izvor prihoda: 01 Opći prihodi, 43 Prih. za pos.namjene</t>
  </si>
  <si>
    <t>Izvor prihoda: 01 Opći prihodi, 03 Vlastiti prihodi, 05 Pomoći</t>
  </si>
  <si>
    <t>Izvor prihoda:  01 Opći prihodi i primici, 05 Pomoći</t>
  </si>
  <si>
    <t>Izvor prihoda: 01 Opći prihodi, 05 Pomoći</t>
  </si>
  <si>
    <t>Izvor prihoda: 03 Vlastiti prihodi</t>
  </si>
  <si>
    <t xml:space="preserve">Izvor prihoda: 01 Opći prihodi i primici </t>
  </si>
  <si>
    <t>Izvor prihoda: 01 Opći prihodi i primici, 05 Pomoći</t>
  </si>
  <si>
    <t>Izvor prihoda: 43 Prihodi za posebne namjene</t>
  </si>
  <si>
    <t>Izvor prihoda: 02 Vlastiti prihodi, 05 Pomoći</t>
  </si>
  <si>
    <t>Izvor prihoda 01 Opći prihodi i primici</t>
  </si>
  <si>
    <t>Izvor prihoda: 05 Pomoći</t>
  </si>
  <si>
    <t>Izvor prihoda: 01 Opći prihodi i primici, 43 Prihodi za posebne namjene</t>
  </si>
  <si>
    <t>Izvor prihoda: 01 Opći prihodi i primici,  43 Prihodi za posebne namjene</t>
  </si>
  <si>
    <t>Izvor prihoda: 43 Prihodi za posebne namjene,05 Pomoći,</t>
  </si>
  <si>
    <t>Izvor prihoda: 01 Opći prihodi i primici, 43 Prihodi za posebne namjene,05 Pomoći</t>
  </si>
  <si>
    <t>Izvor prihoda:01 Opći prihodi i primici, 43 Prihodi za posebne namjene</t>
  </si>
  <si>
    <t>Izvor prihoda:01 Opći prihodi i primici, 05 Pomoći</t>
  </si>
  <si>
    <t>Izvor prihoda:  43 Prihodi za posebne namjene</t>
  </si>
  <si>
    <t>Izvor prihoda:  01 Opći prihodi i primici</t>
  </si>
  <si>
    <t>Izvor prihoda: 01- Opći prihodi i primici,  05- Pomoći</t>
  </si>
  <si>
    <r>
      <t xml:space="preserve">Izvor prihoda: </t>
    </r>
    <r>
      <rPr>
        <sz val="12"/>
        <rFont val="Arial"/>
        <family val="2"/>
        <charset val="238"/>
      </rPr>
      <t>05 - Pomoći</t>
    </r>
  </si>
  <si>
    <t>Izvor prihoda: 05 - Pomoći</t>
  </si>
  <si>
    <t xml:space="preserve">POVEĆANJE  /  SMANJENJE </t>
  </si>
  <si>
    <t>NOVI PLAN 2025.</t>
  </si>
  <si>
    <t>INDEKS 2/1*100</t>
  </si>
  <si>
    <t xml:space="preserve">POVEĆANJE/SMANJENJE                       </t>
  </si>
  <si>
    <t xml:space="preserve">NOVI PLAN ZA 2025.                    </t>
  </si>
  <si>
    <t>Ostale int. usluge -stručni nadzor</t>
  </si>
  <si>
    <t xml:space="preserve">Ostale int. usluge -Upravljanje projektom </t>
  </si>
  <si>
    <r>
      <rPr>
        <u/>
        <sz val="11"/>
        <rFont val="Arial"/>
        <family val="2"/>
        <charset val="238"/>
      </rPr>
      <t>Ostale int. usluge -U</t>
    </r>
    <r>
      <rPr>
        <sz val="11"/>
        <rFont val="Arial"/>
        <family val="2"/>
        <charset val="238"/>
      </rPr>
      <t xml:space="preserve">pravljanje projektom </t>
    </r>
  </si>
  <si>
    <t>Izgradnja ceste Galovska (J. Piškovića - Agatićeva)</t>
  </si>
  <si>
    <t>Izgradnja ceste Galovska (Do Prološčića))</t>
  </si>
  <si>
    <t>Izgradnja ceste Ulica 22. svibnja</t>
  </si>
  <si>
    <t>PROJEKT 01: OSIGURANJE ZEMLJIŠTA ZA IZGRADNJU GRAĐEVINSKIH OBJEKATA</t>
  </si>
  <si>
    <t>PROJEKT 07: ZACJEVLJENJE KANALA U ULICI ZVONKA ŽULJEVIĆA U DONJOJ VRBI</t>
  </si>
  <si>
    <t>IV. IZMJENE I DOPUNE PRORAČUNA ZA 2025. GODINU</t>
  </si>
  <si>
    <t>PROGRAM 24: ADVENT U OPĆINI GORNJA VRBA</t>
  </si>
  <si>
    <t>T001010402</t>
  </si>
  <si>
    <t>T001010903</t>
  </si>
  <si>
    <t>T001010904</t>
  </si>
  <si>
    <t>T001011102</t>
  </si>
  <si>
    <t>T001011203</t>
  </si>
  <si>
    <t>T001011204</t>
  </si>
  <si>
    <t>T001011205</t>
  </si>
  <si>
    <t>T001011701</t>
  </si>
  <si>
    <t>T001011702</t>
  </si>
  <si>
    <t>T001011801</t>
  </si>
  <si>
    <t>T001011803</t>
  </si>
  <si>
    <t>T001011805</t>
  </si>
  <si>
    <t>T001011804</t>
  </si>
  <si>
    <t>T001011806</t>
  </si>
  <si>
    <t>T001011807</t>
  </si>
  <si>
    <t>T001011808</t>
  </si>
  <si>
    <t>T001011809</t>
  </si>
  <si>
    <t>T001011810</t>
  </si>
  <si>
    <t>T001011811</t>
  </si>
  <si>
    <t>T001011812</t>
  </si>
  <si>
    <t>K001011903</t>
  </si>
  <si>
    <t>K001011904</t>
  </si>
  <si>
    <t>K001011905</t>
  </si>
  <si>
    <t>K001011906</t>
  </si>
  <si>
    <t>K001011907</t>
  </si>
  <si>
    <t>K001012001</t>
  </si>
  <si>
    <t>K001012002</t>
  </si>
  <si>
    <t>K001012003</t>
  </si>
  <si>
    <t>K001012005</t>
  </si>
  <si>
    <t>K001012006</t>
  </si>
  <si>
    <t>K001012007</t>
  </si>
  <si>
    <t>K001012010</t>
  </si>
  <si>
    <t>AKTIVNOST 02: TEK. ODRŽ. GRAĐEVINSKIH OBJEKATA</t>
  </si>
  <si>
    <t>PROJEKT 03: IZGRADNJA RASVJETE NA ŠRC "GORAN JURIĆ", GORNJA VRBA</t>
  </si>
  <si>
    <t xml:space="preserve">PROJEKT 04: MODERNIZACIJA NOGOSTUPA </t>
  </si>
  <si>
    <t>PROJEKT 05: IZGRADNJA PJEŠAČKE STAZE U SAVSKOJ ULICI U GORNJOJ VRBI</t>
  </si>
  <si>
    <t>PROJEKT 06: UREĐENJE JAVNIH POVRŠINA, DJ.IGRALIŠTA</t>
  </si>
  <si>
    <t>PROJEKT 07: IZGRADNJA NAVODNJAVANJA NOGOMETNOG IGRALIŠTA GORNJA VRBA</t>
  </si>
  <si>
    <r>
      <t xml:space="preserve">PROJEKT </t>
    </r>
    <r>
      <rPr>
        <b/>
        <sz val="12"/>
        <rFont val="Arial"/>
        <family val="2"/>
      </rPr>
      <t>08</t>
    </r>
    <r>
      <rPr>
        <b/>
        <sz val="12"/>
        <rFont val="Arial"/>
        <family val="2"/>
        <charset val="238"/>
      </rPr>
      <t>: IZGRADNJA MJESNOG GROBLJA GORNJA VRBA</t>
    </r>
  </si>
  <si>
    <t>PROJEKT 09: IZGRADNJA PARKIRALIŠTA KOD NOG.IGRALIŠTA U DONJOJ VRBI</t>
  </si>
  <si>
    <t>K001012009</t>
  </si>
  <si>
    <t>PROJEKT 10: IZGRADNJA SPORTSKE TRIBINE U DONJOJ VRBI</t>
  </si>
  <si>
    <t>PROJEKT 11: IZGRADNJA BICIKLISTIČKE STAZE DONJA VRBA - SLAVONSKI BROD</t>
  </si>
  <si>
    <t>K001012011</t>
  </si>
  <si>
    <t>PROJEKT 12: UREĐENJE SPORTSKOREKREACIJSKOG ZEMLJIŠTA JUŽNO OD SJEV.GOSP.ZONE U G.VRBI</t>
  </si>
  <si>
    <t>K001012012</t>
  </si>
  <si>
    <t>PROJEKT 13: IZGRADNJA NOGOSTUPA U ULICI ZVONKA ŽULJEVIĆA, DONJA VRBA</t>
  </si>
  <si>
    <t>K001012013</t>
  </si>
  <si>
    <t xml:space="preserve">PROJEKT 14: IZGRADNJA BICIKLISTIČKE STAZE KROZ SJEVERNU GOSPODARSKU ZONU </t>
  </si>
  <si>
    <t>K001012014</t>
  </si>
  <si>
    <t>PROJEKT 15: UREĐENJE JAVNIH POVRŠINA, OGRADE UZ PJEŠAČKE STAZE I PRILAZE, UREĐENJE POVRŠINA UZ CESTE</t>
  </si>
  <si>
    <t>K001012015</t>
  </si>
  <si>
    <t>T001012102</t>
  </si>
  <si>
    <t>T001012201</t>
  </si>
  <si>
    <t>T001012202</t>
  </si>
  <si>
    <t>T001012301</t>
  </si>
  <si>
    <t>Pristojbe i naknade (jav.bilj.,sudske pristojbe, naknada za uređenje 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</si>
</sst>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6" x14ac:knownFonts="1">
    <font>
      <sz val="10"/>
      <name val="Arial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1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1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3" fontId="6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/>
    <xf numFmtId="4" fontId="6" fillId="0" borderId="0" xfId="0" applyNumberFormat="1" applyFont="1"/>
    <xf numFmtId="0" fontId="2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/>
    <xf numFmtId="3" fontId="8" fillId="0" borderId="1" xfId="0" applyNumberFormat="1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wrapText="1"/>
    </xf>
    <xf numFmtId="3" fontId="6" fillId="0" borderId="15" xfId="0" applyNumberFormat="1" applyFont="1" applyBorder="1"/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wrapText="1"/>
    </xf>
    <xf numFmtId="3" fontId="7" fillId="0" borderId="18" xfId="0" applyNumberFormat="1" applyFont="1" applyBorder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0" fontId="6" fillId="0" borderId="1" xfId="0" applyFont="1" applyBorder="1"/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wrapText="1"/>
    </xf>
    <xf numFmtId="3" fontId="2" fillId="2" borderId="23" xfId="0" applyNumberFormat="1" applyFont="1" applyFill="1" applyBorder="1"/>
    <xf numFmtId="0" fontId="0" fillId="2" borderId="0" xfId="0" applyFill="1"/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wrapText="1"/>
    </xf>
    <xf numFmtId="3" fontId="2" fillId="2" borderId="15" xfId="0" applyNumberFormat="1" applyFont="1" applyFill="1" applyBorder="1"/>
    <xf numFmtId="0" fontId="3" fillId="2" borderId="0" xfId="0" applyFont="1" applyFill="1"/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/>
    <xf numFmtId="3" fontId="8" fillId="2" borderId="6" xfId="0" applyNumberFormat="1" applyFont="1" applyFill="1" applyBorder="1"/>
    <xf numFmtId="0" fontId="10" fillId="2" borderId="0" xfId="0" applyFont="1" applyFill="1"/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/>
    </xf>
    <xf numFmtId="0" fontId="8" fillId="2" borderId="6" xfId="0" applyFont="1" applyFill="1" applyBorder="1" applyAlignment="1">
      <alignment wrapText="1"/>
    </xf>
    <xf numFmtId="0" fontId="1" fillId="3" borderId="0" xfId="0" applyFont="1" applyFill="1"/>
    <xf numFmtId="0" fontId="2" fillId="4" borderId="16" xfId="0" applyFont="1" applyFill="1" applyBorder="1" applyAlignment="1">
      <alignment horizontal="left"/>
    </xf>
    <xf numFmtId="0" fontId="2" fillId="4" borderId="3" xfId="0" applyFont="1" applyFill="1" applyBorder="1" applyAlignment="1">
      <alignment wrapText="1"/>
    </xf>
    <xf numFmtId="3" fontId="2" fillId="4" borderId="3" xfId="0" applyNumberFormat="1" applyFont="1" applyFill="1" applyBorder="1"/>
    <xf numFmtId="0" fontId="1" fillId="4" borderId="0" xfId="0" applyFont="1" applyFill="1"/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3" fontId="2" fillId="3" borderId="15" xfId="0" applyNumberFormat="1" applyFont="1" applyFill="1" applyBorder="1"/>
    <xf numFmtId="0" fontId="10" fillId="4" borderId="0" xfId="0" applyFont="1" applyFill="1"/>
    <xf numFmtId="0" fontId="11" fillId="0" borderId="0" xfId="0" applyFont="1"/>
    <xf numFmtId="0" fontId="8" fillId="4" borderId="4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distributed"/>
    </xf>
    <xf numFmtId="0" fontId="16" fillId="0" borderId="23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9" fillId="5" borderId="26" xfId="0" applyNumberFormat="1" applyFont="1" applyFill="1" applyBorder="1"/>
    <xf numFmtId="0" fontId="19" fillId="0" borderId="0" xfId="0" applyFont="1" applyAlignment="1">
      <alignment horizontal="left" vertical="center"/>
    </xf>
    <xf numFmtId="4" fontId="19" fillId="0" borderId="0" xfId="0" applyNumberFormat="1" applyFont="1"/>
    <xf numFmtId="4" fontId="9" fillId="6" borderId="26" xfId="0" applyNumberFormat="1" applyFont="1" applyFill="1" applyBorder="1"/>
    <xf numFmtId="0" fontId="13" fillId="0" borderId="0" xfId="0" applyFont="1"/>
    <xf numFmtId="0" fontId="15" fillId="0" borderId="0" xfId="0" applyFont="1" applyAlignment="1">
      <alignment horizontal="left" vertical="center" wrapText="1"/>
    </xf>
    <xf numFmtId="4" fontId="9" fillId="0" borderId="0" xfId="0" applyNumberFormat="1" applyFont="1"/>
    <xf numFmtId="0" fontId="21" fillId="7" borderId="18" xfId="0" applyFont="1" applyFill="1" applyBorder="1" applyAlignment="1">
      <alignment wrapText="1"/>
    </xf>
    <xf numFmtId="4" fontId="12" fillId="7" borderId="17" xfId="0" applyNumberFormat="1" applyFont="1" applyFill="1" applyBorder="1"/>
    <xf numFmtId="0" fontId="9" fillId="0" borderId="0" xfId="0" applyFont="1"/>
    <xf numFmtId="4" fontId="12" fillId="7" borderId="27" xfId="0" applyNumberFormat="1" applyFont="1" applyFill="1" applyBorder="1"/>
    <xf numFmtId="0" fontId="1" fillId="0" borderId="28" xfId="0" applyFont="1" applyBorder="1"/>
    <xf numFmtId="4" fontId="12" fillId="7" borderId="16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2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1" fillId="0" borderId="0" xfId="0" applyFont="1"/>
    <xf numFmtId="0" fontId="21" fillId="7" borderId="29" xfId="0" applyFont="1" applyFill="1" applyBorder="1"/>
    <xf numFmtId="4" fontId="12" fillId="7" borderId="29" xfId="0" applyNumberFormat="1" applyFont="1" applyFill="1" applyBorder="1"/>
    <xf numFmtId="4" fontId="12" fillId="7" borderId="18" xfId="0" applyNumberFormat="1" applyFont="1" applyFill="1" applyBorder="1"/>
    <xf numFmtId="4" fontId="12" fillId="7" borderId="30" xfId="0" applyNumberFormat="1" applyFont="1" applyFill="1" applyBorder="1"/>
    <xf numFmtId="4" fontId="12" fillId="7" borderId="31" xfId="0" applyNumberFormat="1" applyFont="1" applyFill="1" applyBorder="1"/>
    <xf numFmtId="0" fontId="21" fillId="0" borderId="28" xfId="0" applyFont="1" applyBorder="1"/>
    <xf numFmtId="4" fontId="12" fillId="7" borderId="20" xfId="0" applyNumberFormat="1" applyFont="1" applyFill="1" applyBorder="1"/>
    <xf numFmtId="4" fontId="12" fillId="7" borderId="3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Border="1"/>
    <xf numFmtId="0" fontId="12" fillId="0" borderId="0" xfId="0" applyFont="1" applyAlignment="1">
      <alignment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24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9" fontId="12" fillId="0" borderId="0" xfId="0" applyNumberFormat="1" applyFont="1"/>
    <xf numFmtId="0" fontId="21" fillId="7" borderId="29" xfId="0" applyFont="1" applyFill="1" applyBorder="1" applyAlignment="1">
      <alignment horizontal="left" vertical="center"/>
    </xf>
    <xf numFmtId="49" fontId="12" fillId="0" borderId="28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9" fillId="0" borderId="0" xfId="0" applyFont="1"/>
    <xf numFmtId="0" fontId="21" fillId="7" borderId="29" xfId="0" applyFont="1" applyFill="1" applyBorder="1" applyAlignment="1">
      <alignment vertical="center"/>
    </xf>
    <xf numFmtId="0" fontId="12" fillId="0" borderId="28" xfId="0" applyFont="1" applyBorder="1"/>
    <xf numFmtId="4" fontId="12" fillId="7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/>
    </xf>
    <xf numFmtId="0" fontId="21" fillId="7" borderId="18" xfId="0" applyFont="1" applyFill="1" applyBorder="1"/>
    <xf numFmtId="4" fontId="11" fillId="7" borderId="17" xfId="0" applyNumberFormat="1" applyFont="1" applyFill="1" applyBorder="1"/>
    <xf numFmtId="0" fontId="12" fillId="0" borderId="0" xfId="0" applyFont="1" applyAlignment="1">
      <alignment horizontal="left" vertical="center"/>
    </xf>
    <xf numFmtId="0" fontId="22" fillId="7" borderId="31" xfId="0" applyFont="1" applyFill="1" applyBorder="1"/>
    <xf numFmtId="0" fontId="11" fillId="0" borderId="28" xfId="0" applyFont="1" applyBorder="1"/>
    <xf numFmtId="0" fontId="1" fillId="0" borderId="0" xfId="0" applyFont="1" applyAlignment="1">
      <alignment horizontal="center" vertical="center" wrapText="1"/>
    </xf>
    <xf numFmtId="4" fontId="12" fillId="7" borderId="16" xfId="0" applyNumberFormat="1" applyFont="1" applyFill="1" applyBorder="1"/>
    <xf numFmtId="0" fontId="3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4" fontId="26" fillId="0" borderId="0" xfId="0" applyNumberFormat="1" applyFont="1"/>
    <xf numFmtId="0" fontId="26" fillId="0" borderId="0" xfId="0" applyFont="1"/>
    <xf numFmtId="0" fontId="14" fillId="0" borderId="0" xfId="0" applyFont="1" applyAlignment="1">
      <alignment horizontal="left"/>
    </xf>
    <xf numFmtId="4" fontId="12" fillId="0" borderId="0" xfId="0" applyNumberFormat="1" applyFont="1"/>
    <xf numFmtId="0" fontId="3" fillId="7" borderId="17" xfId="0" applyFont="1" applyFill="1" applyBorder="1"/>
    <xf numFmtId="4" fontId="12" fillId="7" borderId="16" xfId="0" applyNumberFormat="1" applyFont="1" applyFill="1" applyBorder="1" applyAlignment="1">
      <alignment horizontal="right"/>
    </xf>
    <xf numFmtId="4" fontId="26" fillId="5" borderId="26" xfId="0" applyNumberFormat="1" applyFont="1" applyFill="1" applyBorder="1"/>
    <xf numFmtId="4" fontId="13" fillId="0" borderId="0" xfId="0" applyNumberFormat="1" applyFont="1"/>
    <xf numFmtId="0" fontId="27" fillId="0" borderId="0" xfId="0" applyFont="1"/>
    <xf numFmtId="0" fontId="11" fillId="0" borderId="0" xfId="0" applyFont="1" applyAlignment="1">
      <alignment horizontal="left"/>
    </xf>
    <xf numFmtId="0" fontId="21" fillId="7" borderId="18" xfId="0" applyFont="1" applyFill="1" applyBorder="1" applyAlignment="1">
      <alignment vertical="center" wrapText="1"/>
    </xf>
    <xf numFmtId="0" fontId="23" fillId="7" borderId="27" xfId="0" applyFont="1" applyFill="1" applyBorder="1"/>
    <xf numFmtId="4" fontId="11" fillId="7" borderId="27" xfId="0" applyNumberFormat="1" applyFont="1" applyFill="1" applyBorder="1"/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1" fillId="7" borderId="27" xfId="0" applyNumberFormat="1" applyFont="1" applyFill="1" applyBorder="1"/>
    <xf numFmtId="0" fontId="25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7" borderId="1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3" fillId="7" borderId="27" xfId="0" applyFont="1" applyFill="1" applyBorder="1"/>
    <xf numFmtId="4" fontId="9" fillId="5" borderId="26" xfId="0" applyNumberFormat="1" applyFont="1" applyFill="1" applyBorder="1"/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4" fontId="23" fillId="0" borderId="0" xfId="0" applyNumberFormat="1" applyFont="1"/>
    <xf numFmtId="0" fontId="25" fillId="0" borderId="0" xfId="0" applyFont="1" applyAlignment="1">
      <alignment horizontal="left" vertical="center" wrapText="1"/>
    </xf>
    <xf numFmtId="4" fontId="13" fillId="6" borderId="26" xfId="0" applyNumberFormat="1" applyFont="1" applyFill="1" applyBorder="1"/>
    <xf numFmtId="0" fontId="12" fillId="0" borderId="0" xfId="0" applyFont="1" applyAlignment="1">
      <alignment horizontal="left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18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19" fillId="8" borderId="26" xfId="0" applyNumberFormat="1" applyFont="1" applyFill="1" applyBorder="1" applyAlignment="1">
      <alignment horizontal="right" vertical="center"/>
    </xf>
    <xf numFmtId="0" fontId="20" fillId="0" borderId="0" xfId="0" applyFont="1"/>
    <xf numFmtId="0" fontId="29" fillId="7" borderId="31" xfId="0" applyFont="1" applyFill="1" applyBorder="1" applyAlignment="1">
      <alignment vertical="center" wrapText="1"/>
    </xf>
    <xf numFmtId="0" fontId="29" fillId="7" borderId="31" xfId="0" applyFont="1" applyFill="1" applyBorder="1" applyAlignment="1">
      <alignment vertical="center"/>
    </xf>
    <xf numFmtId="0" fontId="29" fillId="7" borderId="31" xfId="0" applyFont="1" applyFill="1" applyBorder="1"/>
    <xf numFmtId="0" fontId="29" fillId="7" borderId="30" xfId="0" applyFont="1" applyFill="1" applyBorder="1"/>
    <xf numFmtId="0" fontId="29" fillId="7" borderId="30" xfId="0" applyFont="1" applyFill="1" applyBorder="1" applyAlignment="1">
      <alignment vertical="center"/>
    </xf>
    <xf numFmtId="0" fontId="29" fillId="7" borderId="30" xfId="0" applyFont="1" applyFill="1" applyBorder="1" applyAlignment="1">
      <alignment horizontal="left" vertical="center"/>
    </xf>
    <xf numFmtId="0" fontId="29" fillId="7" borderId="31" xfId="0" applyFont="1" applyFill="1" applyBorder="1" applyAlignment="1">
      <alignment wrapText="1"/>
    </xf>
    <xf numFmtId="0" fontId="3" fillId="0" borderId="0" xfId="0" applyFont="1" applyAlignment="1">
      <alignment horizontal="right" vertical="distributed"/>
    </xf>
    <xf numFmtId="165" fontId="1" fillId="0" borderId="0" xfId="0" applyNumberFormat="1" applyFont="1" applyAlignment="1">
      <alignment horizontal="right" vertical="center"/>
    </xf>
    <xf numFmtId="165" fontId="3" fillId="5" borderId="13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6" borderId="13" xfId="0" applyNumberFormat="1" applyFont="1" applyFill="1" applyBorder="1" applyAlignment="1">
      <alignment horizontal="right"/>
    </xf>
    <xf numFmtId="165" fontId="3" fillId="7" borderId="17" xfId="0" applyNumberFormat="1" applyFont="1" applyFill="1" applyBorder="1"/>
    <xf numFmtId="165" fontId="3" fillId="7" borderId="27" xfId="0" applyNumberFormat="1" applyFont="1" applyFill="1" applyBorder="1"/>
    <xf numFmtId="165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7" borderId="18" xfId="0" applyNumberFormat="1" applyFont="1" applyFill="1" applyBorder="1"/>
    <xf numFmtId="165" fontId="3" fillId="7" borderId="31" xfId="0" applyNumberFormat="1" applyFont="1" applyFill="1" applyBorder="1"/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/>
    <xf numFmtId="165" fontId="3" fillId="7" borderId="17" xfId="0" applyNumberFormat="1" applyFont="1" applyFill="1" applyBorder="1" applyAlignment="1">
      <alignment wrapText="1"/>
    </xf>
    <xf numFmtId="165" fontId="3" fillId="7" borderId="27" xfId="0" applyNumberFormat="1" applyFont="1" applyFill="1" applyBorder="1" applyAlignment="1">
      <alignment wrapText="1"/>
    </xf>
    <xf numFmtId="0" fontId="3" fillId="7" borderId="27" xfId="0" applyFont="1" applyFill="1" applyBorder="1" applyAlignment="1">
      <alignment wrapText="1"/>
    </xf>
    <xf numFmtId="165" fontId="3" fillId="7" borderId="17" xfId="0" applyNumberFormat="1" applyFont="1" applyFill="1" applyBorder="1" applyAlignment="1">
      <alignment horizontal="right" wrapText="1"/>
    </xf>
    <xf numFmtId="165" fontId="3" fillId="7" borderId="27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distributed"/>
    </xf>
    <xf numFmtId="165" fontId="14" fillId="0" borderId="13" xfId="0" applyNumberFormat="1" applyFont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0" fontId="24" fillId="7" borderId="20" xfId="0" applyFont="1" applyFill="1" applyBorder="1" applyAlignment="1">
      <alignment horizontal="left" vertical="center"/>
    </xf>
    <xf numFmtId="0" fontId="24" fillId="7" borderId="3" xfId="0" applyFont="1" applyFill="1" applyBorder="1"/>
    <xf numFmtId="0" fontId="24" fillId="7" borderId="3" xfId="0" applyFont="1" applyFill="1" applyBorder="1" applyAlignment="1">
      <alignment wrapText="1"/>
    </xf>
    <xf numFmtId="0" fontId="7" fillId="0" borderId="15" xfId="0" applyFont="1" applyBorder="1"/>
    <xf numFmtId="0" fontId="24" fillId="7" borderId="20" xfId="0" applyFont="1" applyFill="1" applyBorder="1" applyAlignment="1">
      <alignment vertical="center"/>
    </xf>
    <xf numFmtId="0" fontId="24" fillId="7" borderId="20" xfId="0" applyFont="1" applyFill="1" applyBorder="1"/>
    <xf numFmtId="0" fontId="24" fillId="7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9" fillId="8" borderId="26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2" fillId="7" borderId="16" xfId="0" applyNumberFormat="1" applyFont="1" applyFill="1" applyBorder="1" applyAlignment="1">
      <alignment horizontal="right"/>
    </xf>
    <xf numFmtId="3" fontId="9" fillId="5" borderId="26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9" fillId="6" borderId="26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2" fillId="7" borderId="17" xfId="0" applyNumberFormat="1" applyFont="1" applyFill="1" applyBorder="1" applyAlignment="1">
      <alignment horizontal="right"/>
    </xf>
    <xf numFmtId="3" fontId="12" fillId="7" borderId="27" xfId="0" applyNumberFormat="1" applyFont="1" applyFill="1" applyBorder="1" applyAlignment="1">
      <alignment horizontal="right"/>
    </xf>
    <xf numFmtId="3" fontId="12" fillId="7" borderId="16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9" fillId="5" borderId="26" xfId="0" applyNumberFormat="1" applyFont="1" applyFill="1" applyBorder="1" applyAlignment="1">
      <alignment horizontal="right"/>
    </xf>
    <xf numFmtId="3" fontId="12" fillId="7" borderId="18" xfId="0" applyNumberFormat="1" applyFont="1" applyFill="1" applyBorder="1" applyAlignment="1">
      <alignment horizontal="right"/>
    </xf>
    <xf numFmtId="3" fontId="12" fillId="7" borderId="31" xfId="0" applyNumberFormat="1" applyFont="1" applyFill="1" applyBorder="1" applyAlignment="1">
      <alignment horizontal="right"/>
    </xf>
    <xf numFmtId="3" fontId="12" fillId="7" borderId="2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3" fontId="12" fillId="7" borderId="3" xfId="0" applyNumberFormat="1" applyFont="1" applyFill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11" fillId="7" borderId="17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 vertical="center" wrapText="1"/>
    </xf>
    <xf numFmtId="3" fontId="2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3" fillId="7" borderId="17" xfId="0" applyNumberFormat="1" applyFont="1" applyFill="1" applyBorder="1" applyAlignment="1">
      <alignment horizontal="right"/>
    </xf>
    <xf numFmtId="3" fontId="26" fillId="5" borderId="26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23" fillId="7" borderId="27" xfId="0" applyNumberFormat="1" applyFont="1" applyFill="1" applyBorder="1" applyAlignment="1">
      <alignment horizontal="right"/>
    </xf>
    <xf numFmtId="3" fontId="11" fillId="7" borderId="27" xfId="0" applyNumberFormat="1" applyFont="1" applyFill="1" applyBorder="1" applyAlignment="1">
      <alignment horizontal="right"/>
    </xf>
    <xf numFmtId="3" fontId="21" fillId="7" borderId="27" xfId="0" applyNumberFormat="1" applyFont="1" applyFill="1" applyBorder="1" applyAlignment="1">
      <alignment horizontal="right"/>
    </xf>
    <xf numFmtId="4" fontId="12" fillId="7" borderId="27" xfId="0" applyNumberFormat="1" applyFont="1" applyFill="1" applyBorder="1" applyAlignment="1">
      <alignment horizontal="right"/>
    </xf>
    <xf numFmtId="3" fontId="3" fillId="7" borderId="27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13" fillId="6" borderId="2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4" fontId="26" fillId="0" borderId="26" xfId="0" applyNumberFormat="1" applyFont="1" applyBorder="1" applyAlignment="1">
      <alignment horizontal="center" vertical="center"/>
    </xf>
    <xf numFmtId="3" fontId="26" fillId="0" borderId="26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3" fontId="4" fillId="0" borderId="23" xfId="0" applyNumberFormat="1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right" vertical="distributed"/>
    </xf>
    <xf numFmtId="3" fontId="12" fillId="7" borderId="34" xfId="0" applyNumberFormat="1" applyFont="1" applyFill="1" applyBorder="1" applyAlignment="1">
      <alignment horizontal="right"/>
    </xf>
    <xf numFmtId="3" fontId="12" fillId="7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2" fillId="7" borderId="29" xfId="0" applyNumberFormat="1" applyFont="1" applyFill="1" applyBorder="1" applyAlignment="1">
      <alignment horizontal="right"/>
    </xf>
    <xf numFmtId="3" fontId="12" fillId="7" borderId="30" xfId="0" applyNumberFormat="1" applyFont="1" applyFill="1" applyBorder="1" applyAlignment="1">
      <alignment horizontal="right"/>
    </xf>
    <xf numFmtId="3" fontId="12" fillId="7" borderId="28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/>
    </xf>
    <xf numFmtId="0" fontId="7" fillId="0" borderId="35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3" fontId="8" fillId="3" borderId="15" xfId="0" applyNumberFormat="1" applyFont="1" applyFill="1" applyBorder="1"/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/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3" fontId="2" fillId="0" borderId="15" xfId="0" applyNumberFormat="1" applyFont="1" applyBorder="1"/>
    <xf numFmtId="3" fontId="7" fillId="0" borderId="15" xfId="0" applyNumberFormat="1" applyFont="1" applyBorder="1"/>
    <xf numFmtId="0" fontId="2" fillId="0" borderId="16" xfId="0" applyFont="1" applyBorder="1"/>
    <xf numFmtId="0" fontId="2" fillId="0" borderId="3" xfId="0" applyFont="1" applyBorder="1"/>
    <xf numFmtId="3" fontId="7" fillId="0" borderId="3" xfId="0" applyNumberFormat="1" applyFont="1" applyBorder="1"/>
    <xf numFmtId="49" fontId="7" fillId="0" borderId="19" xfId="0" applyNumberFormat="1" applyFont="1" applyBorder="1"/>
    <xf numFmtId="49" fontId="7" fillId="0" borderId="1" xfId="0" applyNumberFormat="1" applyFont="1" applyBorder="1"/>
    <xf numFmtId="49" fontId="7" fillId="0" borderId="21" xfId="0" applyNumberFormat="1" applyFont="1" applyBorder="1"/>
    <xf numFmtId="49" fontId="7" fillId="0" borderId="15" xfId="0" applyNumberFormat="1" applyFont="1" applyBorder="1"/>
    <xf numFmtId="49" fontId="7" fillId="0" borderId="37" xfId="0" applyNumberFormat="1" applyFont="1" applyBorder="1"/>
    <xf numFmtId="49" fontId="7" fillId="0" borderId="3" xfId="0" applyNumberFormat="1" applyFont="1" applyBorder="1"/>
    <xf numFmtId="49" fontId="7" fillId="3" borderId="21" xfId="0" applyNumberFormat="1" applyFont="1" applyFill="1" applyBorder="1"/>
    <xf numFmtId="49" fontId="7" fillId="3" borderId="15" xfId="0" applyNumberFormat="1" applyFont="1" applyFill="1" applyBorder="1"/>
    <xf numFmtId="49" fontId="7" fillId="0" borderId="0" xfId="0" applyNumberFormat="1" applyFont="1"/>
    <xf numFmtId="49" fontId="7" fillId="2" borderId="23" xfId="0" applyNumberFormat="1" applyFont="1" applyFill="1" applyBorder="1"/>
    <xf numFmtId="49" fontId="7" fillId="4" borderId="3" xfId="0" applyNumberFormat="1" applyFont="1" applyFill="1" applyBorder="1"/>
    <xf numFmtId="49" fontId="7" fillId="4" borderId="1" xfId="0" applyNumberFormat="1" applyFont="1" applyFill="1" applyBorder="1"/>
    <xf numFmtId="49" fontId="7" fillId="2" borderId="15" xfId="0" applyNumberFormat="1" applyFont="1" applyFill="1" applyBorder="1"/>
    <xf numFmtId="49" fontId="7" fillId="2" borderId="6" xfId="0" applyNumberFormat="1" applyFont="1" applyFill="1" applyBorder="1"/>
    <xf numFmtId="49" fontId="8" fillId="0" borderId="1" xfId="0" applyNumberFormat="1" applyFont="1" applyBorder="1"/>
    <xf numFmtId="49" fontId="7" fillId="0" borderId="18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wrapText="1"/>
    </xf>
    <xf numFmtId="3" fontId="6" fillId="0" borderId="18" xfId="0" applyNumberFormat="1" applyFont="1" applyBorder="1"/>
    <xf numFmtId="0" fontId="24" fillId="0" borderId="1" xfId="0" applyFont="1" applyBorder="1" applyAlignment="1">
      <alignment horizontal="left"/>
    </xf>
    <xf numFmtId="0" fontId="21" fillId="0" borderId="19" xfId="0" applyFont="1" applyBorder="1"/>
    <xf numFmtId="0" fontId="21" fillId="0" borderId="39" xfId="0" applyFont="1" applyBorder="1"/>
    <xf numFmtId="0" fontId="21" fillId="0" borderId="19" xfId="0" applyFont="1" applyBorder="1" applyAlignment="1">
      <alignment horizontal="left"/>
    </xf>
    <xf numFmtId="0" fontId="24" fillId="0" borderId="19" xfId="0" applyFont="1" applyBorder="1"/>
    <xf numFmtId="0" fontId="21" fillId="0" borderId="0" xfId="0" applyFont="1" applyAlignment="1">
      <alignment horizontal="center" vertical="center"/>
    </xf>
    <xf numFmtId="49" fontId="24" fillId="0" borderId="37" xfId="0" applyNumberFormat="1" applyFont="1" applyBorder="1"/>
    <xf numFmtId="4" fontId="21" fillId="0" borderId="18" xfId="0" applyNumberFormat="1" applyFont="1" applyBorder="1"/>
    <xf numFmtId="4" fontId="24" fillId="0" borderId="1" xfId="0" applyNumberFormat="1" applyFont="1" applyBorder="1"/>
    <xf numFmtId="4" fontId="21" fillId="0" borderId="1" xfId="0" applyNumberFormat="1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49" fontId="21" fillId="0" borderId="19" xfId="0" applyNumberFormat="1" applyFont="1" applyBorder="1"/>
    <xf numFmtId="4" fontId="21" fillId="0" borderId="31" xfId="0" applyNumberFormat="1" applyFont="1" applyBorder="1"/>
    <xf numFmtId="4" fontId="21" fillId="0" borderId="3" xfId="0" applyNumberFormat="1" applyFont="1" applyBorder="1"/>
    <xf numFmtId="0" fontId="21" fillId="0" borderId="18" xfId="0" applyFont="1" applyBorder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/>
    <xf numFmtId="4" fontId="21" fillId="0" borderId="4" xfId="0" applyNumberFormat="1" applyFont="1" applyBorder="1"/>
    <xf numFmtId="165" fontId="21" fillId="0" borderId="1" xfId="0" applyNumberFormat="1" applyFont="1" applyBorder="1" applyAlignment="1">
      <alignment horizontal="right"/>
    </xf>
    <xf numFmtId="4" fontId="24" fillId="0" borderId="3" xfId="0" applyNumberFormat="1" applyFont="1" applyBorder="1"/>
    <xf numFmtId="165" fontId="21" fillId="0" borderId="31" xfId="0" applyNumberFormat="1" applyFont="1" applyBorder="1" applyAlignment="1">
      <alignment horizontal="right" wrapText="1"/>
    </xf>
    <xf numFmtId="165" fontId="21" fillId="0" borderId="31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4" fontId="21" fillId="0" borderId="16" xfId="0" applyNumberFormat="1" applyFont="1" applyBorder="1"/>
    <xf numFmtId="0" fontId="21" fillId="0" borderId="40" xfId="0" applyFont="1" applyBorder="1" applyAlignment="1">
      <alignment horizontal="left"/>
    </xf>
    <xf numFmtId="0" fontId="21" fillId="0" borderId="40" xfId="0" applyFont="1" applyBorder="1" applyAlignment="1">
      <alignment wrapText="1"/>
    </xf>
    <xf numFmtId="4" fontId="21" fillId="0" borderId="40" xfId="0" applyNumberFormat="1" applyFont="1" applyBorder="1"/>
    <xf numFmtId="165" fontId="21" fillId="0" borderId="40" xfId="0" applyNumberFormat="1" applyFont="1" applyBorder="1" applyAlignment="1">
      <alignment horizontal="right"/>
    </xf>
    <xf numFmtId="0" fontId="0" fillId="0" borderId="41" xfId="0" applyBorder="1"/>
    <xf numFmtId="0" fontId="24" fillId="0" borderId="3" xfId="0" applyFont="1" applyBorder="1" applyAlignment="1">
      <alignment horizontal="left"/>
    </xf>
    <xf numFmtId="0" fontId="4" fillId="0" borderId="7" xfId="0" applyFont="1" applyBorder="1"/>
    <xf numFmtId="4" fontId="21" fillId="0" borderId="11" xfId="0" applyNumberFormat="1" applyFont="1" applyBorder="1"/>
    <xf numFmtId="4" fontId="21" fillId="0" borderId="42" xfId="0" applyNumberFormat="1" applyFont="1" applyBorder="1"/>
    <xf numFmtId="0" fontId="21" fillId="0" borderId="31" xfId="0" applyFont="1" applyBorder="1"/>
    <xf numFmtId="0" fontId="21" fillId="0" borderId="31" xfId="0" applyFont="1" applyBorder="1" applyAlignment="1">
      <alignment wrapText="1"/>
    </xf>
    <xf numFmtId="0" fontId="21" fillId="0" borderId="31" xfId="0" applyFont="1" applyBorder="1" applyAlignment="1">
      <alignment vertical="distributed" wrapText="1"/>
    </xf>
    <xf numFmtId="0" fontId="21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/>
    </xf>
    <xf numFmtId="4" fontId="17" fillId="9" borderId="23" xfId="0" applyNumberFormat="1" applyFont="1" applyFill="1" applyBorder="1" applyAlignment="1">
      <alignment horizontal="right" vertical="center"/>
    </xf>
    <xf numFmtId="0" fontId="4" fillId="0" borderId="43" xfId="0" applyFont="1" applyBorder="1"/>
    <xf numFmtId="49" fontId="24" fillId="0" borderId="19" xfId="0" applyNumberFormat="1" applyFont="1" applyBorder="1"/>
    <xf numFmtId="49" fontId="21" fillId="0" borderId="44" xfId="0" applyNumberFormat="1" applyFont="1" applyBorder="1"/>
    <xf numFmtId="0" fontId="21" fillId="0" borderId="44" xfId="0" applyFont="1" applyBorder="1"/>
    <xf numFmtId="0" fontId="4" fillId="0" borderId="45" xfId="0" applyFont="1" applyBorder="1"/>
    <xf numFmtId="0" fontId="21" fillId="0" borderId="44" xfId="0" applyFont="1" applyBorder="1" applyAlignment="1">
      <alignment horizontal="left"/>
    </xf>
    <xf numFmtId="0" fontId="21" fillId="0" borderId="40" xfId="0" applyFont="1" applyBorder="1" applyAlignment="1">
      <alignment horizontal="left" vertical="center" wrapText="1"/>
    </xf>
    <xf numFmtId="0" fontId="21" fillId="0" borderId="42" xfId="0" applyFont="1" applyBorder="1"/>
    <xf numFmtId="0" fontId="21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/>
    </xf>
    <xf numFmtId="4" fontId="17" fillId="10" borderId="23" xfId="0" applyNumberFormat="1" applyFont="1" applyFill="1" applyBorder="1"/>
    <xf numFmtId="0" fontId="17" fillId="10" borderId="0" xfId="0" applyFont="1" applyFill="1"/>
    <xf numFmtId="0" fontId="4" fillId="0" borderId="0" xfId="0" applyFont="1" applyAlignment="1">
      <alignment horizontal="right"/>
    </xf>
    <xf numFmtId="4" fontId="17" fillId="11" borderId="25" xfId="0" applyNumberFormat="1" applyFont="1" applyFill="1" applyBorder="1" applyAlignment="1">
      <alignment vertical="center"/>
    </xf>
    <xf numFmtId="0" fontId="17" fillId="11" borderId="0" xfId="0" applyFont="1" applyFill="1" applyAlignment="1">
      <alignment vertical="center"/>
    </xf>
    <xf numFmtId="0" fontId="9" fillId="0" borderId="49" xfId="0" applyFont="1" applyBorder="1"/>
    <xf numFmtId="0" fontId="9" fillId="0" borderId="28" xfId="0" applyFont="1" applyBorder="1"/>
    <xf numFmtId="0" fontId="9" fillId="0" borderId="3" xfId="0" applyFont="1" applyBorder="1"/>
    <xf numFmtId="4" fontId="9" fillId="0" borderId="4" xfId="0" applyNumberFormat="1" applyFont="1" applyBorder="1"/>
    <xf numFmtId="4" fontId="9" fillId="0" borderId="3" xfId="0" applyNumberFormat="1" applyFont="1" applyBorder="1"/>
    <xf numFmtId="0" fontId="9" fillId="0" borderId="43" xfId="0" applyFont="1" applyBorder="1"/>
    <xf numFmtId="4" fontId="9" fillId="0" borderId="1" xfId="0" applyNumberFormat="1" applyFont="1" applyBorder="1"/>
    <xf numFmtId="0" fontId="9" fillId="0" borderId="3" xfId="0" applyFont="1" applyBorder="1" applyAlignment="1">
      <alignment horizontal="left" vertical="distributed" wrapText="1"/>
    </xf>
    <xf numFmtId="4" fontId="9" fillId="0" borderId="31" xfId="0" applyNumberFormat="1" applyFont="1" applyBorder="1"/>
    <xf numFmtId="0" fontId="9" fillId="0" borderId="3" xfId="0" applyFont="1" applyBorder="1" applyAlignment="1">
      <alignment wrapText="1"/>
    </xf>
    <xf numFmtId="4" fontId="21" fillId="0" borderId="50" xfId="0" applyNumberFormat="1" applyFont="1" applyBorder="1"/>
    <xf numFmtId="0" fontId="21" fillId="0" borderId="0" xfId="0" applyFont="1" applyAlignment="1">
      <alignment shrinkToFit="1"/>
    </xf>
    <xf numFmtId="0" fontId="21" fillId="0" borderId="9" xfId="0" applyFont="1" applyBorder="1" applyAlignment="1">
      <alignment shrinkToFit="1"/>
    </xf>
    <xf numFmtId="0" fontId="18" fillId="0" borderId="48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/>
    </xf>
    <xf numFmtId="165" fontId="21" fillId="0" borderId="50" xfId="0" applyNumberFormat="1" applyFont="1" applyBorder="1" applyAlignment="1">
      <alignment horizontal="right"/>
    </xf>
    <xf numFmtId="0" fontId="24" fillId="0" borderId="37" xfId="0" applyFont="1" applyBorder="1"/>
    <xf numFmtId="0" fontId="24" fillId="10" borderId="0" xfId="0" applyFont="1" applyFill="1"/>
    <xf numFmtId="0" fontId="4" fillId="0" borderId="48" xfId="0" applyFont="1" applyBorder="1" applyAlignment="1">
      <alignment horizontal="center" vertical="center" textRotation="90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15" fillId="0" borderId="48" xfId="0" applyFont="1" applyBorder="1" applyAlignment="1">
      <alignment horizontal="center" vertical="center"/>
    </xf>
    <xf numFmtId="0" fontId="16" fillId="0" borderId="0" xfId="0" applyFont="1"/>
    <xf numFmtId="0" fontId="31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49" fontId="7" fillId="2" borderId="35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7" fillId="12" borderId="5" xfId="0" applyNumberFormat="1" applyFont="1" applyFill="1" applyBorder="1" applyAlignment="1">
      <alignment horizontal="center" vertical="center" wrapText="1"/>
    </xf>
    <xf numFmtId="49" fontId="7" fillId="12" borderId="6" xfId="0" applyNumberFormat="1" applyFont="1" applyFill="1" applyBorder="1"/>
    <xf numFmtId="0" fontId="5" fillId="12" borderId="11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/>
    </xf>
    <xf numFmtId="0" fontId="1" fillId="12" borderId="0" xfId="0" applyFont="1" applyFill="1"/>
    <xf numFmtId="49" fontId="7" fillId="12" borderId="21" xfId="0" applyNumberFormat="1" applyFont="1" applyFill="1" applyBorder="1"/>
    <xf numFmtId="49" fontId="7" fillId="12" borderId="15" xfId="0" applyNumberFormat="1" applyFont="1" applyFill="1" applyBorder="1"/>
    <xf numFmtId="0" fontId="7" fillId="12" borderId="14" xfId="0" applyFont="1" applyFill="1" applyBorder="1" applyAlignment="1">
      <alignment horizontal="center" vertical="center" wrapText="1"/>
    </xf>
    <xf numFmtId="0" fontId="7" fillId="12" borderId="15" xfId="0" applyFont="1" applyFill="1" applyBorder="1"/>
    <xf numFmtId="0" fontId="7" fillId="12" borderId="15" xfId="0" applyFont="1" applyFill="1" applyBorder="1" applyAlignment="1">
      <alignment horizontal="center"/>
    </xf>
    <xf numFmtId="0" fontId="7" fillId="12" borderId="0" xfId="0" applyFont="1" applyFill="1"/>
    <xf numFmtId="0" fontId="2" fillId="12" borderId="7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49" fontId="7" fillId="12" borderId="25" xfId="0" applyNumberFormat="1" applyFont="1" applyFill="1" applyBorder="1" applyAlignment="1">
      <alignment horizontal="center"/>
    </xf>
    <xf numFmtId="0" fontId="2" fillId="12" borderId="9" xfId="0" applyFont="1" applyFill="1" applyBorder="1"/>
    <xf numFmtId="0" fontId="2" fillId="12" borderId="10" xfId="0" applyFont="1" applyFill="1" applyBorder="1"/>
    <xf numFmtId="0" fontId="11" fillId="12" borderId="21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/>
    </xf>
    <xf numFmtId="49" fontId="7" fillId="12" borderId="32" xfId="0" applyNumberFormat="1" applyFont="1" applyFill="1" applyBorder="1" applyAlignment="1">
      <alignment horizontal="center"/>
    </xf>
    <xf numFmtId="49" fontId="7" fillId="12" borderId="53" xfId="0" applyNumberFormat="1" applyFont="1" applyFill="1" applyBorder="1" applyAlignment="1">
      <alignment horizontal="center"/>
    </xf>
    <xf numFmtId="49" fontId="7" fillId="12" borderId="52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10" fillId="0" borderId="0" xfId="0" applyFont="1" applyAlignment="1">
      <alignment wrapText="1"/>
    </xf>
    <xf numFmtId="4" fontId="4" fillId="0" borderId="0" xfId="0" applyNumberFormat="1" applyFont="1"/>
    <xf numFmtId="49" fontId="4" fillId="0" borderId="12" xfId="0" applyNumberFormat="1" applyFont="1" applyBorder="1"/>
    <xf numFmtId="49" fontId="7" fillId="0" borderId="9" xfId="0" applyNumberFormat="1" applyFont="1" applyBorder="1"/>
    <xf numFmtId="0" fontId="7" fillId="0" borderId="0" xfId="0" applyFont="1"/>
    <xf numFmtId="49" fontId="7" fillId="0" borderId="7" xfId="0" applyNumberFormat="1" applyFont="1" applyBorder="1"/>
    <xf numFmtId="49" fontId="4" fillId="0" borderId="9" xfId="0" applyNumberFormat="1" applyFont="1" applyBorder="1"/>
    <xf numFmtId="0" fontId="10" fillId="0" borderId="9" xfId="0" applyFont="1" applyBorder="1"/>
    <xf numFmtId="0" fontId="10" fillId="0" borderId="9" xfId="0" applyFont="1" applyBorder="1" applyAlignment="1">
      <alignment wrapText="1"/>
    </xf>
    <xf numFmtId="4" fontId="4" fillId="0" borderId="9" xfId="0" applyNumberFormat="1" applyFont="1" applyBorder="1"/>
    <xf numFmtId="0" fontId="4" fillId="0" borderId="9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/>
    </xf>
    <xf numFmtId="0" fontId="21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vertical="center" wrapText="1"/>
    </xf>
    <xf numFmtId="4" fontId="21" fillId="0" borderId="40" xfId="0" applyNumberFormat="1" applyFont="1" applyBorder="1" applyAlignment="1">
      <alignment vertical="center"/>
    </xf>
    <xf numFmtId="0" fontId="32" fillId="0" borderId="9" xfId="0" applyFont="1" applyBorder="1" applyAlignment="1">
      <alignment shrinkToFit="1"/>
    </xf>
    <xf numFmtId="4" fontId="33" fillId="11" borderId="25" xfId="0" applyNumberFormat="1" applyFont="1" applyFill="1" applyBorder="1" applyAlignment="1">
      <alignment vertical="center"/>
    </xf>
    <xf numFmtId="4" fontId="33" fillId="10" borderId="23" xfId="0" applyNumberFormat="1" applyFont="1" applyFill="1" applyBorder="1"/>
    <xf numFmtId="4" fontId="32" fillId="0" borderId="42" xfId="0" applyNumberFormat="1" applyFont="1" applyBorder="1"/>
    <xf numFmtId="4" fontId="32" fillId="0" borderId="31" xfId="0" applyNumberFormat="1" applyFont="1" applyBorder="1"/>
    <xf numFmtId="4" fontId="35" fillId="0" borderId="3" xfId="0" applyNumberFormat="1" applyFont="1" applyBorder="1"/>
    <xf numFmtId="4" fontId="36" fillId="0" borderId="3" xfId="0" applyNumberFormat="1" applyFont="1" applyBorder="1"/>
    <xf numFmtId="4" fontId="32" fillId="0" borderId="1" xfId="0" applyNumberFormat="1" applyFont="1" applyBorder="1"/>
    <xf numFmtId="4" fontId="36" fillId="0" borderId="1" xfId="0" applyNumberFormat="1" applyFont="1" applyBorder="1"/>
    <xf numFmtId="4" fontId="32" fillId="0" borderId="40" xfId="0" applyNumberFormat="1" applyFont="1" applyBorder="1"/>
    <xf numFmtId="4" fontId="32" fillId="0" borderId="18" xfId="0" applyNumberFormat="1" applyFont="1" applyBorder="1"/>
    <xf numFmtId="4" fontId="33" fillId="9" borderId="23" xfId="0" applyNumberFormat="1" applyFont="1" applyFill="1" applyBorder="1" applyAlignment="1">
      <alignment horizontal="right" vertical="center"/>
    </xf>
    <xf numFmtId="0" fontId="37" fillId="0" borderId="0" xfId="0" applyFont="1"/>
    <xf numFmtId="0" fontId="9" fillId="13" borderId="0" xfId="0" applyFont="1" applyFill="1"/>
    <xf numFmtId="0" fontId="10" fillId="13" borderId="0" xfId="0" applyFont="1" applyFill="1"/>
    <xf numFmtId="0" fontId="0" fillId="13" borderId="0" xfId="0" applyFill="1"/>
    <xf numFmtId="0" fontId="24" fillId="13" borderId="0" xfId="0" applyFont="1" applyFill="1"/>
    <xf numFmtId="0" fontId="0" fillId="13" borderId="0" xfId="0" applyFill="1" applyAlignment="1">
      <alignment vertical="center"/>
    </xf>
    <xf numFmtId="4" fontId="30" fillId="9" borderId="23" xfId="0" applyNumberFormat="1" applyFont="1" applyFill="1" applyBorder="1" applyAlignment="1">
      <alignment vertical="center"/>
    </xf>
    <xf numFmtId="4" fontId="17" fillId="10" borderId="23" xfId="0" applyNumberFormat="1" applyFont="1" applyFill="1" applyBorder="1" applyAlignment="1">
      <alignment vertical="center"/>
    </xf>
    <xf numFmtId="4" fontId="21" fillId="0" borderId="31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33" fillId="10" borderId="23" xfId="0" applyNumberFormat="1" applyFont="1" applyFill="1" applyBorder="1" applyAlignment="1">
      <alignment vertical="center"/>
    </xf>
    <xf numFmtId="4" fontId="17" fillId="10" borderId="23" xfId="0" applyNumberFormat="1" applyFont="1" applyFill="1" applyBorder="1" applyAlignment="1">
      <alignment vertical="center" wrapText="1"/>
    </xf>
    <xf numFmtId="165" fontId="18" fillId="10" borderId="2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shrinkToFit="1"/>
    </xf>
    <xf numFmtId="4" fontId="33" fillId="10" borderId="2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4" fontId="34" fillId="9" borderId="23" xfId="0" applyNumberFormat="1" applyFont="1" applyFill="1" applyBorder="1" applyAlignment="1">
      <alignment vertical="center"/>
    </xf>
    <xf numFmtId="0" fontId="30" fillId="9" borderId="0" xfId="0" applyFont="1" applyFill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left" shrinkToFit="1"/>
    </xf>
    <xf numFmtId="4" fontId="32" fillId="0" borderId="31" xfId="0" applyNumberFormat="1" applyFont="1" applyBorder="1" applyAlignment="1">
      <alignment vertical="center"/>
    </xf>
    <xf numFmtId="4" fontId="35" fillId="0" borderId="31" xfId="0" applyNumberFormat="1" applyFont="1" applyBorder="1" applyAlignment="1">
      <alignment vertical="center"/>
    </xf>
    <xf numFmtId="4" fontId="35" fillId="0" borderId="3" xfId="0" applyNumberFormat="1" applyFont="1" applyBorder="1" applyAlignment="1">
      <alignment vertical="center"/>
    </xf>
    <xf numFmtId="4" fontId="36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40" fillId="0" borderId="48" xfId="0" applyFont="1" applyBorder="1" applyAlignment="1">
      <alignment horizontal="center" vertical="center" wrapText="1"/>
    </xf>
    <xf numFmtId="49" fontId="7" fillId="14" borderId="5" xfId="0" applyNumberFormat="1" applyFont="1" applyFill="1" applyBorder="1"/>
    <xf numFmtId="49" fontId="7" fillId="14" borderId="6" xfId="0" applyNumberFormat="1" applyFont="1" applyFill="1" applyBorder="1"/>
    <xf numFmtId="0" fontId="2" fillId="14" borderId="11" xfId="0" applyFont="1" applyFill="1" applyBorder="1"/>
    <xf numFmtId="0" fontId="2" fillId="14" borderId="6" xfId="0" applyFont="1" applyFill="1" applyBorder="1"/>
    <xf numFmtId="3" fontId="2" fillId="14" borderId="6" xfId="0" applyNumberFormat="1" applyFont="1" applyFill="1" applyBorder="1"/>
    <xf numFmtId="0" fontId="1" fillId="14" borderId="0" xfId="0" applyFont="1" applyFill="1"/>
    <xf numFmtId="49" fontId="7" fillId="0" borderId="2" xfId="0" applyNumberFormat="1" applyFont="1" applyBorder="1"/>
    <xf numFmtId="0" fontId="2" fillId="0" borderId="55" xfId="0" applyFont="1" applyBorder="1"/>
    <xf numFmtId="49" fontId="7" fillId="0" borderId="4" xfId="0" applyNumberFormat="1" applyFont="1" applyBorder="1"/>
    <xf numFmtId="49" fontId="7" fillId="0" borderId="54" xfId="0" applyNumberFormat="1" applyFont="1" applyBorder="1"/>
    <xf numFmtId="4" fontId="2" fillId="0" borderId="4" xfId="0" applyNumberFormat="1" applyFont="1" applyBorder="1"/>
    <xf numFmtId="4" fontId="2" fillId="0" borderId="55" xfId="0" applyNumberFormat="1" applyFont="1" applyBorder="1"/>
    <xf numFmtId="0" fontId="6" fillId="12" borderId="6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3" fillId="0" borderId="9" xfId="0" applyNumberFormat="1" applyFont="1" applyBorder="1"/>
    <xf numFmtId="3" fontId="2" fillId="2" borderId="6" xfId="0" applyNumberFormat="1" applyFont="1" applyFill="1" applyBorder="1"/>
    <xf numFmtId="0" fontId="9" fillId="0" borderId="3" xfId="0" applyFont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0" fillId="0" borderId="41" xfId="0" applyBorder="1" applyAlignment="1">
      <alignment vertical="center"/>
    </xf>
    <xf numFmtId="0" fontId="21" fillId="0" borderId="41" xfId="0" applyFont="1" applyBorder="1"/>
    <xf numFmtId="0" fontId="9" fillId="0" borderId="41" xfId="0" applyFont="1" applyBorder="1"/>
    <xf numFmtId="0" fontId="24" fillId="0" borderId="41" xfId="0" applyFont="1" applyBorder="1"/>
    <xf numFmtId="0" fontId="4" fillId="0" borderId="41" xfId="0" applyFont="1" applyBorder="1"/>
    <xf numFmtId="4" fontId="32" fillId="0" borderId="1" xfId="0" applyNumberFormat="1" applyFont="1" applyBorder="1" applyAlignment="1">
      <alignment vertical="center"/>
    </xf>
    <xf numFmtId="4" fontId="32" fillId="0" borderId="40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4" fontId="9" fillId="15" borderId="3" xfId="0" applyNumberFormat="1" applyFont="1" applyFill="1" applyBorder="1"/>
    <xf numFmtId="0" fontId="21" fillId="0" borderId="40" xfId="0" applyFont="1" applyBorder="1"/>
    <xf numFmtId="4" fontId="17" fillId="10" borderId="25" xfId="0" applyNumberFormat="1" applyFont="1" applyFill="1" applyBorder="1" applyAlignment="1">
      <alignment vertical="center"/>
    </xf>
    <xf numFmtId="4" fontId="33" fillId="10" borderId="25" xfId="0" applyNumberFormat="1" applyFont="1" applyFill="1" applyBorder="1" applyAlignment="1">
      <alignment vertical="center"/>
    </xf>
    <xf numFmtId="4" fontId="17" fillId="10" borderId="25" xfId="0" applyNumberFormat="1" applyFont="1" applyFill="1" applyBorder="1" applyAlignment="1">
      <alignment vertical="center" wrapText="1"/>
    </xf>
    <xf numFmtId="4" fontId="33" fillId="10" borderId="25" xfId="0" applyNumberFormat="1" applyFont="1" applyFill="1" applyBorder="1" applyAlignment="1">
      <alignment vertical="center" wrapText="1"/>
    </xf>
    <xf numFmtId="0" fontId="42" fillId="13" borderId="4" xfId="0" applyFont="1" applyFill="1" applyBorder="1" applyAlignment="1">
      <alignment horizontal="left"/>
    </xf>
    <xf numFmtId="0" fontId="43" fillId="13" borderId="4" xfId="0" applyFont="1" applyFill="1" applyBorder="1" applyAlignment="1">
      <alignment horizontal="left"/>
    </xf>
    <xf numFmtId="3" fontId="44" fillId="0" borderId="1" xfId="0" applyNumberFormat="1" applyFont="1" applyBorder="1"/>
    <xf numFmtId="4" fontId="21" fillId="0" borderId="27" xfId="0" applyNumberFormat="1" applyFont="1" applyBorder="1"/>
    <xf numFmtId="0" fontId="21" fillId="0" borderId="0" xfId="0" applyFont="1" applyAlignment="1">
      <alignment wrapText="1"/>
    </xf>
    <xf numFmtId="0" fontId="21" fillId="0" borderId="27" xfId="0" applyFont="1" applyBorder="1" applyAlignment="1">
      <alignment horizontal="left"/>
    </xf>
    <xf numFmtId="4" fontId="24" fillId="0" borderId="31" xfId="0" applyNumberFormat="1" applyFont="1" applyBorder="1"/>
    <xf numFmtId="4" fontId="21" fillId="15" borderId="1" xfId="0" applyNumberFormat="1" applyFont="1" applyFill="1" applyBorder="1"/>
    <xf numFmtId="0" fontId="9" fillId="15" borderId="3" xfId="0" applyFont="1" applyFill="1" applyBorder="1" applyAlignment="1">
      <alignment wrapText="1"/>
    </xf>
    <xf numFmtId="4" fontId="21" fillId="15" borderId="31" xfId="0" applyNumberFormat="1" applyFont="1" applyFill="1" applyBorder="1"/>
    <xf numFmtId="4" fontId="21" fillId="15" borderId="31" xfId="0" applyNumberFormat="1" applyFont="1" applyFill="1" applyBorder="1" applyAlignment="1">
      <alignment vertical="center"/>
    </xf>
    <xf numFmtId="4" fontId="9" fillId="15" borderId="31" xfId="0" applyNumberFormat="1" applyFont="1" applyFill="1" applyBorder="1" applyAlignment="1">
      <alignment vertical="center"/>
    </xf>
    <xf numFmtId="4" fontId="9" fillId="15" borderId="3" xfId="0" applyNumberFormat="1" applyFont="1" applyFill="1" applyBorder="1" applyAlignment="1">
      <alignment vertical="center"/>
    </xf>
    <xf numFmtId="0" fontId="21" fillId="15" borderId="1" xfId="0" applyFont="1" applyFill="1" applyBorder="1" applyAlignment="1">
      <alignment wrapText="1"/>
    </xf>
    <xf numFmtId="4" fontId="32" fillId="15" borderId="1" xfId="0" applyNumberFormat="1" applyFont="1" applyFill="1" applyBorder="1"/>
    <xf numFmtId="0" fontId="21" fillId="15" borderId="1" xfId="0" applyFont="1" applyFill="1" applyBorder="1"/>
    <xf numFmtId="4" fontId="9" fillId="15" borderId="1" xfId="0" applyNumberFormat="1" applyFont="1" applyFill="1" applyBorder="1"/>
    <xf numFmtId="0" fontId="24" fillId="15" borderId="1" xfId="0" applyFont="1" applyFill="1" applyBorder="1"/>
    <xf numFmtId="0" fontId="24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/>
    </xf>
    <xf numFmtId="0" fontId="24" fillId="15" borderId="1" xfId="0" applyFont="1" applyFill="1" applyBorder="1" applyAlignment="1">
      <alignment wrapText="1"/>
    </xf>
    <xf numFmtId="4" fontId="24" fillId="15" borderId="1" xfId="0" applyNumberFormat="1" applyFont="1" applyFill="1" applyBorder="1"/>
    <xf numFmtId="4" fontId="36" fillId="15" borderId="1" xfId="0" applyNumberFormat="1" applyFont="1" applyFill="1" applyBorder="1"/>
    <xf numFmtId="0" fontId="21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left"/>
    </xf>
    <xf numFmtId="0" fontId="21" fillId="15" borderId="18" xfId="0" applyFont="1" applyFill="1" applyBorder="1"/>
    <xf numFmtId="0" fontId="21" fillId="15" borderId="1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left"/>
    </xf>
    <xf numFmtId="0" fontId="21" fillId="15" borderId="18" xfId="0" applyFont="1" applyFill="1" applyBorder="1" applyAlignment="1">
      <alignment wrapText="1"/>
    </xf>
    <xf numFmtId="4" fontId="21" fillId="15" borderId="18" xfId="0" applyNumberFormat="1" applyFont="1" applyFill="1" applyBorder="1"/>
    <xf numFmtId="4" fontId="32" fillId="15" borderId="18" xfId="0" applyNumberFormat="1" applyFont="1" applyFill="1" applyBorder="1"/>
    <xf numFmtId="0" fontId="21" fillId="15" borderId="40" xfId="0" applyFont="1" applyFill="1" applyBorder="1" applyAlignment="1">
      <alignment horizontal="center" vertical="center"/>
    </xf>
    <xf numFmtId="0" fontId="21" fillId="15" borderId="40" xfId="0" applyFont="1" applyFill="1" applyBorder="1" applyAlignment="1">
      <alignment horizontal="left"/>
    </xf>
    <xf numFmtId="0" fontId="21" fillId="15" borderId="40" xfId="0" applyFont="1" applyFill="1" applyBorder="1" applyAlignment="1">
      <alignment wrapText="1"/>
    </xf>
    <xf numFmtId="4" fontId="21" fillId="15" borderId="40" xfId="0" applyNumberFormat="1" applyFont="1" applyFill="1" applyBorder="1"/>
    <xf numFmtId="4" fontId="32" fillId="15" borderId="40" xfId="0" applyNumberFormat="1" applyFont="1" applyFill="1" applyBorder="1"/>
    <xf numFmtId="0" fontId="21" fillId="15" borderId="31" xfId="0" applyFont="1" applyFill="1" applyBorder="1" applyAlignment="1">
      <alignment wrapText="1"/>
    </xf>
    <xf numFmtId="4" fontId="32" fillId="15" borderId="31" xfId="0" applyNumberFormat="1" applyFont="1" applyFill="1" applyBorder="1"/>
    <xf numFmtId="165" fontId="21" fillId="15" borderId="31" xfId="0" applyNumberFormat="1" applyFont="1" applyFill="1" applyBorder="1" applyAlignment="1">
      <alignment horizontal="right"/>
    </xf>
    <xf numFmtId="0" fontId="24" fillId="15" borderId="19" xfId="0" applyFont="1" applyFill="1" applyBorder="1" applyAlignment="1">
      <alignment horizontal="left"/>
    </xf>
    <xf numFmtId="0" fontId="24" fillId="15" borderId="1" xfId="0" applyFont="1" applyFill="1" applyBorder="1" applyAlignment="1">
      <alignment horizontal="left" vertical="center"/>
    </xf>
    <xf numFmtId="165" fontId="21" fillId="15" borderId="3" xfId="0" applyNumberFormat="1" applyFont="1" applyFill="1" applyBorder="1" applyAlignment="1">
      <alignment horizontal="right"/>
    </xf>
    <xf numFmtId="0" fontId="21" fillId="15" borderId="19" xfId="0" applyFont="1" applyFill="1" applyBorder="1" applyAlignment="1">
      <alignment horizontal="left"/>
    </xf>
    <xf numFmtId="0" fontId="4" fillId="15" borderId="43" xfId="0" applyFont="1" applyFill="1" applyBorder="1"/>
    <xf numFmtId="0" fontId="4" fillId="15" borderId="0" xfId="0" applyFont="1" applyFill="1" applyAlignment="1">
      <alignment horizontal="center"/>
    </xf>
    <xf numFmtId="0" fontId="4" fillId="15" borderId="0" xfId="0" applyFont="1" applyFill="1"/>
    <xf numFmtId="4" fontId="21" fillId="15" borderId="3" xfId="0" applyNumberFormat="1" applyFont="1" applyFill="1" applyBorder="1"/>
    <xf numFmtId="0" fontId="9" fillId="15" borderId="43" xfId="0" applyFont="1" applyFill="1" applyBorder="1"/>
    <xf numFmtId="0" fontId="9" fillId="15" borderId="0" xfId="0" applyFont="1" applyFill="1" applyAlignment="1">
      <alignment horizontal="center"/>
    </xf>
    <xf numFmtId="0" fontId="9" fillId="15" borderId="0" xfId="0" applyFont="1" applyFill="1"/>
    <xf numFmtId="0" fontId="9" fillId="15" borderId="3" xfId="0" applyFont="1" applyFill="1" applyBorder="1" applyAlignment="1">
      <alignment vertical="distributed" wrapText="1"/>
    </xf>
    <xf numFmtId="4" fontId="35" fillId="15" borderId="3" xfId="0" applyNumberFormat="1" applyFont="1" applyFill="1" applyBorder="1"/>
    <xf numFmtId="0" fontId="24" fillId="15" borderId="1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44" xfId="0" applyFont="1" applyFill="1" applyBorder="1" applyAlignment="1">
      <alignment horizontal="left"/>
    </xf>
    <xf numFmtId="0" fontId="21" fillId="15" borderId="40" xfId="0" applyFont="1" applyFill="1" applyBorder="1" applyAlignment="1">
      <alignment horizontal="left" vertical="center" wrapText="1"/>
    </xf>
    <xf numFmtId="0" fontId="21" fillId="15" borderId="31" xfId="0" applyFont="1" applyFill="1" applyBorder="1"/>
    <xf numFmtId="0" fontId="9" fillId="15" borderId="3" xfId="0" applyFont="1" applyFill="1" applyBorder="1" applyAlignment="1">
      <alignment horizontal="left"/>
    </xf>
    <xf numFmtId="0" fontId="21" fillId="15" borderId="1" xfId="0" applyFont="1" applyFill="1" applyBorder="1" applyAlignment="1">
      <alignment horizontal="left" vertical="center"/>
    </xf>
    <xf numFmtId="0" fontId="9" fillId="15" borderId="0" xfId="0" applyFont="1" applyFill="1" applyAlignment="1">
      <alignment horizontal="center" vertical="center"/>
    </xf>
    <xf numFmtId="4" fontId="9" fillId="15" borderId="31" xfId="0" applyNumberFormat="1" applyFont="1" applyFill="1" applyBorder="1"/>
    <xf numFmtId="4" fontId="35" fillId="15" borderId="31" xfId="0" applyNumberFormat="1" applyFont="1" applyFill="1" applyBorder="1"/>
    <xf numFmtId="165" fontId="15" fillId="15" borderId="31" xfId="0" applyNumberFormat="1" applyFont="1" applyFill="1" applyBorder="1" applyAlignment="1">
      <alignment horizontal="right"/>
    </xf>
    <xf numFmtId="0" fontId="4" fillId="15" borderId="0" xfId="0" applyFont="1" applyFill="1" applyAlignment="1">
      <alignment horizontal="center" vertical="center"/>
    </xf>
    <xf numFmtId="0" fontId="24" fillId="15" borderId="19" xfId="0" applyFont="1" applyFill="1" applyBorder="1"/>
    <xf numFmtId="0" fontId="21" fillId="15" borderId="19" xfId="0" applyFont="1" applyFill="1" applyBorder="1"/>
    <xf numFmtId="0" fontId="21" fillId="15" borderId="40" xfId="0" applyFont="1" applyFill="1" applyBorder="1"/>
    <xf numFmtId="0" fontId="21" fillId="15" borderId="50" xfId="0" applyFont="1" applyFill="1" applyBorder="1" applyAlignment="1">
      <alignment horizontal="center" vertical="center"/>
    </xf>
    <xf numFmtId="0" fontId="21" fillId="15" borderId="50" xfId="0" applyFont="1" applyFill="1" applyBorder="1" applyAlignment="1">
      <alignment horizontal="left"/>
    </xf>
    <xf numFmtId="0" fontId="21" fillId="15" borderId="50" xfId="0" applyFont="1" applyFill="1" applyBorder="1" applyAlignment="1">
      <alignment wrapText="1"/>
    </xf>
    <xf numFmtId="4" fontId="21" fillId="15" borderId="50" xfId="0" applyNumberFormat="1" applyFont="1" applyFill="1" applyBorder="1"/>
    <xf numFmtId="0" fontId="21" fillId="15" borderId="19" xfId="0" applyFont="1" applyFill="1" applyBorder="1" applyAlignment="1">
      <alignment vertical="center"/>
    </xf>
    <xf numFmtId="0" fontId="21" fillId="15" borderId="18" xfId="0" applyFont="1" applyFill="1" applyBorder="1" applyAlignment="1">
      <alignment horizontal="left" vertical="center"/>
    </xf>
    <xf numFmtId="0" fontId="21" fillId="15" borderId="18" xfId="0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vertical="center"/>
    </xf>
    <xf numFmtId="4" fontId="21" fillId="15" borderId="1" xfId="0" applyNumberFormat="1" applyFont="1" applyFill="1" applyBorder="1" applyAlignment="1">
      <alignment vertical="center"/>
    </xf>
    <xf numFmtId="4" fontId="32" fillId="15" borderId="1" xfId="0" applyNumberFormat="1" applyFont="1" applyFill="1" applyBorder="1" applyAlignment="1">
      <alignment vertical="center"/>
    </xf>
    <xf numFmtId="0" fontId="21" fillId="15" borderId="44" xfId="0" applyFont="1" applyFill="1" applyBorder="1" applyAlignment="1">
      <alignment vertical="center"/>
    </xf>
    <xf numFmtId="0" fontId="21" fillId="15" borderId="40" xfId="0" applyFont="1" applyFill="1" applyBorder="1" applyAlignment="1">
      <alignment horizontal="left" vertical="center"/>
    </xf>
    <xf numFmtId="0" fontId="21" fillId="15" borderId="40" xfId="0" applyFont="1" applyFill="1" applyBorder="1" applyAlignment="1">
      <alignment vertical="center" wrapText="1"/>
    </xf>
    <xf numFmtId="4" fontId="21" fillId="15" borderId="40" xfId="0" applyNumberFormat="1" applyFont="1" applyFill="1" applyBorder="1" applyAlignment="1">
      <alignment vertical="center"/>
    </xf>
    <xf numFmtId="4" fontId="32" fillId="15" borderId="40" xfId="0" applyNumberFormat="1" applyFont="1" applyFill="1" applyBorder="1" applyAlignment="1">
      <alignment vertical="center"/>
    </xf>
    <xf numFmtId="0" fontId="21" fillId="15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left" vertical="center"/>
    </xf>
    <xf numFmtId="0" fontId="21" fillId="15" borderId="46" xfId="0" applyFont="1" applyFill="1" applyBorder="1" applyAlignment="1">
      <alignment vertical="center" wrapText="1"/>
    </xf>
    <xf numFmtId="4" fontId="32" fillId="15" borderId="31" xfId="0" applyNumberFormat="1" applyFont="1" applyFill="1" applyBorder="1" applyAlignment="1">
      <alignment vertical="center"/>
    </xf>
    <xf numFmtId="4" fontId="21" fillId="15" borderId="30" xfId="0" applyNumberFormat="1" applyFont="1" applyFill="1" applyBorder="1"/>
    <xf numFmtId="0" fontId="21" fillId="15" borderId="27" xfId="0" applyFont="1" applyFill="1" applyBorder="1" applyAlignment="1">
      <alignment horizontal="left" vertical="center"/>
    </xf>
    <xf numFmtId="0" fontId="21" fillId="15" borderId="27" xfId="0" applyFont="1" applyFill="1" applyBorder="1" applyAlignment="1">
      <alignment vertical="center" wrapText="1"/>
    </xf>
    <xf numFmtId="0" fontId="21" fillId="15" borderId="1" xfId="0" applyFont="1" applyFill="1" applyBorder="1" applyAlignment="1">
      <alignment vertical="center"/>
    </xf>
    <xf numFmtId="0" fontId="21" fillId="15" borderId="1" xfId="0" applyFont="1" applyFill="1" applyBorder="1" applyAlignment="1">
      <alignment vertical="center" wrapText="1"/>
    </xf>
    <xf numFmtId="0" fontId="0" fillId="15" borderId="0" xfId="0" applyFill="1"/>
    <xf numFmtId="4" fontId="21" fillId="15" borderId="16" xfId="0" applyNumberFormat="1" applyFont="1" applyFill="1" applyBorder="1"/>
    <xf numFmtId="4" fontId="21" fillId="15" borderId="4" xfId="0" applyNumberFormat="1" applyFont="1" applyFill="1" applyBorder="1"/>
    <xf numFmtId="0" fontId="9" fillId="15" borderId="49" xfId="0" applyFont="1" applyFill="1" applyBorder="1"/>
    <xf numFmtId="0" fontId="9" fillId="15" borderId="28" xfId="0" applyFont="1" applyFill="1" applyBorder="1"/>
    <xf numFmtId="0" fontId="9" fillId="15" borderId="3" xfId="0" applyFont="1" applyFill="1" applyBorder="1"/>
    <xf numFmtId="4" fontId="9" fillId="15" borderId="4" xfId="0" applyNumberFormat="1" applyFont="1" applyFill="1" applyBorder="1"/>
    <xf numFmtId="0" fontId="24" fillId="15" borderId="3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left"/>
    </xf>
    <xf numFmtId="0" fontId="24" fillId="15" borderId="3" xfId="0" applyFont="1" applyFill="1" applyBorder="1" applyAlignment="1">
      <alignment wrapText="1"/>
    </xf>
    <xf numFmtId="4" fontId="24" fillId="15" borderId="3" xfId="0" applyNumberFormat="1" applyFont="1" applyFill="1" applyBorder="1"/>
    <xf numFmtId="4" fontId="36" fillId="15" borderId="3" xfId="0" applyNumberFormat="1" applyFont="1" applyFill="1" applyBorder="1"/>
    <xf numFmtId="0" fontId="21" fillId="15" borderId="39" xfId="0" applyFont="1" applyFill="1" applyBorder="1"/>
    <xf numFmtId="0" fontId="9" fillId="15" borderId="28" xfId="0" applyFont="1" applyFill="1" applyBorder="1" applyAlignment="1">
      <alignment horizontal="center" vertical="center"/>
    </xf>
    <xf numFmtId="4" fontId="32" fillId="15" borderId="50" xfId="0" applyNumberFormat="1" applyFont="1" applyFill="1" applyBorder="1"/>
    <xf numFmtId="4" fontId="21" fillId="15" borderId="0" xfId="0" applyNumberFormat="1" applyFont="1" applyFill="1"/>
    <xf numFmtId="0" fontId="21" fillId="15" borderId="3" xfId="0" applyFont="1" applyFill="1" applyBorder="1" applyAlignment="1">
      <alignment wrapText="1"/>
    </xf>
    <xf numFmtId="0" fontId="0" fillId="0" borderId="1" xfId="0" applyBorder="1"/>
    <xf numFmtId="0" fontId="37" fillId="0" borderId="1" xfId="0" applyFont="1" applyBorder="1"/>
    <xf numFmtId="165" fontId="21" fillId="0" borderId="46" xfId="0" applyNumberFormat="1" applyFont="1" applyBorder="1" applyAlignment="1">
      <alignment horizontal="right"/>
    </xf>
    <xf numFmtId="4" fontId="17" fillId="10" borderId="56" xfId="0" applyNumberFormat="1" applyFont="1" applyFill="1" applyBorder="1"/>
    <xf numFmtId="4" fontId="17" fillId="10" borderId="56" xfId="0" applyNumberFormat="1" applyFont="1" applyFill="1" applyBorder="1" applyAlignment="1">
      <alignment vertical="center"/>
    </xf>
    <xf numFmtId="4" fontId="33" fillId="10" borderId="56" xfId="0" applyNumberFormat="1" applyFont="1" applyFill="1" applyBorder="1" applyAlignment="1">
      <alignment vertical="center"/>
    </xf>
    <xf numFmtId="0" fontId="4" fillId="0" borderId="43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21" fillId="0" borderId="1" xfId="0" applyNumberFormat="1" applyFont="1" applyBorder="1" applyAlignment="1">
      <alignment wrapText="1"/>
    </xf>
    <xf numFmtId="4" fontId="21" fillId="0" borderId="31" xfId="0" applyNumberFormat="1" applyFont="1" applyBorder="1" applyAlignment="1">
      <alignment wrapText="1"/>
    </xf>
    <xf numFmtId="4" fontId="32" fillId="0" borderId="31" xfId="0" applyNumberFormat="1" applyFont="1" applyBorder="1" applyAlignment="1">
      <alignment wrapText="1"/>
    </xf>
    <xf numFmtId="165" fontId="17" fillId="10" borderId="23" xfId="0" applyNumberFormat="1" applyFont="1" applyFill="1" applyBorder="1" applyAlignment="1">
      <alignment horizontal="right" vertical="center"/>
    </xf>
    <xf numFmtId="165" fontId="24" fillId="0" borderId="3" xfId="0" applyNumberFormat="1" applyFont="1" applyBorder="1" applyAlignment="1">
      <alignment horizontal="right"/>
    </xf>
    <xf numFmtId="165" fontId="24" fillId="15" borderId="3" xfId="0" applyNumberFormat="1" applyFont="1" applyFill="1" applyBorder="1" applyAlignment="1">
      <alignment horizontal="right"/>
    </xf>
    <xf numFmtId="165" fontId="17" fillId="10" borderId="56" xfId="0" applyNumberFormat="1" applyFont="1" applyFill="1" applyBorder="1" applyAlignment="1">
      <alignment horizontal="right" vertical="center"/>
    </xf>
    <xf numFmtId="165" fontId="17" fillId="9" borderId="23" xfId="0" applyNumberFormat="1" applyFont="1" applyFill="1" applyBorder="1" applyAlignment="1">
      <alignment horizontal="right" vertical="center"/>
    </xf>
    <xf numFmtId="165" fontId="30" fillId="9" borderId="23" xfId="0" applyNumberFormat="1" applyFont="1" applyFill="1" applyBorder="1" applyAlignment="1">
      <alignment horizontal="right" vertical="center"/>
    </xf>
    <xf numFmtId="165" fontId="30" fillId="11" borderId="23" xfId="0" applyNumberFormat="1" applyFont="1" applyFill="1" applyBorder="1" applyAlignment="1">
      <alignment horizontal="right" vertical="center"/>
    </xf>
    <xf numFmtId="165" fontId="21" fillId="15" borderId="1" xfId="0" applyNumberFormat="1" applyFont="1" applyFill="1" applyBorder="1" applyAlignment="1">
      <alignment horizontal="right"/>
    </xf>
    <xf numFmtId="165" fontId="21" fillId="15" borderId="40" xfId="0" applyNumberFormat="1" applyFont="1" applyFill="1" applyBorder="1" applyAlignment="1">
      <alignment horizontal="right"/>
    </xf>
    <xf numFmtId="165" fontId="24" fillId="15" borderId="1" xfId="0" applyNumberFormat="1" applyFont="1" applyFill="1" applyBorder="1" applyAlignment="1">
      <alignment horizontal="right"/>
    </xf>
    <xf numFmtId="0" fontId="7" fillId="12" borderId="62" xfId="0" applyFont="1" applyFill="1" applyBorder="1" applyAlignment="1">
      <alignment horizontal="center"/>
    </xf>
    <xf numFmtId="0" fontId="28" fillId="12" borderId="63" xfId="0" applyFont="1" applyFill="1" applyBorder="1" applyAlignment="1">
      <alignment horizontal="center" vertical="center" wrapText="1"/>
    </xf>
    <xf numFmtId="164" fontId="8" fillId="14" borderId="64" xfId="0" applyNumberFormat="1" applyFont="1" applyFill="1" applyBorder="1"/>
    <xf numFmtId="4" fontId="6" fillId="0" borderId="65" xfId="0" applyNumberFormat="1" applyFont="1" applyBorder="1"/>
    <xf numFmtId="164" fontId="2" fillId="0" borderId="66" xfId="0" applyNumberFormat="1" applyFont="1" applyBorder="1"/>
    <xf numFmtId="164" fontId="7" fillId="0" borderId="65" xfId="0" applyNumberFormat="1" applyFont="1" applyBorder="1"/>
    <xf numFmtId="164" fontId="7" fillId="0" borderId="64" xfId="0" applyNumberFormat="1" applyFont="1" applyBorder="1"/>
    <xf numFmtId="164" fontId="7" fillId="3" borderId="63" xfId="0" applyNumberFormat="1" applyFont="1" applyFill="1" applyBorder="1"/>
    <xf numFmtId="0" fontId="11" fillId="12" borderId="23" xfId="0" applyFont="1" applyFill="1" applyBorder="1" applyAlignment="1">
      <alignment horizontal="center" vertical="center" wrapText="1"/>
    </xf>
    <xf numFmtId="0" fontId="28" fillId="12" borderId="36" xfId="0" applyFont="1" applyFill="1" applyBorder="1" applyAlignment="1">
      <alignment horizontal="center" vertical="center" wrapText="1"/>
    </xf>
    <xf numFmtId="0" fontId="7" fillId="12" borderId="63" xfId="0" applyFont="1" applyFill="1" applyBorder="1" applyAlignment="1">
      <alignment horizontal="center"/>
    </xf>
    <xf numFmtId="164" fontId="8" fillId="2" borderId="36" xfId="0" applyNumberFormat="1" applyFont="1" applyFill="1" applyBorder="1"/>
    <xf numFmtId="164" fontId="8" fillId="4" borderId="64" xfId="0" applyNumberFormat="1" applyFont="1" applyFill="1" applyBorder="1"/>
    <xf numFmtId="164" fontId="8" fillId="0" borderId="64" xfId="0" applyNumberFormat="1" applyFont="1" applyBorder="1"/>
    <xf numFmtId="164" fontId="8" fillId="2" borderId="67" xfId="0" applyNumberFormat="1" applyFont="1" applyFill="1" applyBorder="1"/>
    <xf numFmtId="164" fontId="7" fillId="4" borderId="64" xfId="0" applyNumberFormat="1" applyFont="1" applyFill="1" applyBorder="1"/>
    <xf numFmtId="49" fontId="7" fillId="0" borderId="43" xfId="0" applyNumberFormat="1" applyFont="1" applyBorder="1" applyAlignment="1">
      <alignment horizontal="center" vertical="center"/>
    </xf>
    <xf numFmtId="164" fontId="7" fillId="0" borderId="68" xfId="0" applyNumberFormat="1" applyFont="1" applyBorder="1"/>
    <xf numFmtId="49" fontId="4" fillId="0" borderId="43" xfId="0" applyNumberFormat="1" applyFont="1" applyBorder="1" applyAlignment="1">
      <alignment horizontal="center" vertical="center"/>
    </xf>
    <xf numFmtId="0" fontId="4" fillId="0" borderId="68" xfId="0" applyFont="1" applyBorder="1"/>
    <xf numFmtId="165" fontId="8" fillId="2" borderId="62" xfId="0" applyNumberFormat="1" applyFont="1" applyFill="1" applyBorder="1"/>
    <xf numFmtId="165" fontId="8" fillId="4" borderId="64" xfId="0" applyNumberFormat="1" applyFont="1" applyFill="1" applyBorder="1"/>
    <xf numFmtId="165" fontId="8" fillId="0" borderId="64" xfId="0" applyNumberFormat="1" applyFont="1" applyBorder="1"/>
    <xf numFmtId="165" fontId="7" fillId="0" borderId="64" xfId="0" applyNumberFormat="1" applyFont="1" applyBorder="1"/>
    <xf numFmtId="165" fontId="8" fillId="2" borderId="67" xfId="0" applyNumberFormat="1" applyFont="1" applyFill="1" applyBorder="1"/>
    <xf numFmtId="165" fontId="7" fillId="0" borderId="67" xfId="0" applyNumberFormat="1" applyFont="1" applyBorder="1" applyAlignment="1">
      <alignment vertical="center"/>
    </xf>
    <xf numFmtId="164" fontId="7" fillId="2" borderId="62" xfId="0" applyNumberFormat="1" applyFont="1" applyFill="1" applyBorder="1"/>
    <xf numFmtId="164" fontId="7" fillId="0" borderId="63" xfId="0" applyNumberFormat="1" applyFont="1" applyBorder="1"/>
    <xf numFmtId="4" fontId="17" fillId="10" borderId="25" xfId="0" applyNumberFormat="1" applyFont="1" applyFill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wrapText="1"/>
    </xf>
    <xf numFmtId="3" fontId="2" fillId="0" borderId="18" xfId="0" applyNumberFormat="1" applyFont="1" applyBorder="1"/>
    <xf numFmtId="164" fontId="7" fillId="0" borderId="69" xfId="0" applyNumberFormat="1" applyFont="1" applyBorder="1"/>
    <xf numFmtId="0" fontId="24" fillId="15" borderId="1" xfId="0" applyFont="1" applyFill="1" applyBorder="1" applyAlignment="1">
      <alignment vertical="center"/>
    </xf>
    <xf numFmtId="0" fontId="24" fillId="15" borderId="1" xfId="0" applyFont="1" applyFill="1" applyBorder="1" applyAlignment="1">
      <alignment vertical="center" wrapText="1"/>
    </xf>
    <xf numFmtId="4" fontId="24" fillId="15" borderId="1" xfId="0" applyNumberFormat="1" applyFont="1" applyFill="1" applyBorder="1" applyAlignment="1">
      <alignment vertical="center"/>
    </xf>
    <xf numFmtId="4" fontId="36" fillId="15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6" borderId="38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4" fillId="6" borderId="38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165" fontId="3" fillId="7" borderId="18" xfId="0" applyNumberFormat="1" applyFont="1" applyFill="1" applyBorder="1" applyAlignment="1">
      <alignment horizontal="right" wrapText="1"/>
    </xf>
    <xf numFmtId="165" fontId="3" fillId="7" borderId="31" xfId="0" applyNumberFormat="1" applyFont="1" applyFill="1" applyBorder="1" applyAlignment="1">
      <alignment horizontal="right" wrapText="1"/>
    </xf>
    <xf numFmtId="165" fontId="3" fillId="7" borderId="3" xfId="0" applyNumberFormat="1" applyFont="1" applyFill="1" applyBorder="1" applyAlignment="1">
      <alignment horizontal="right" wrapText="1"/>
    </xf>
    <xf numFmtId="0" fontId="19" fillId="5" borderId="38" xfId="0" applyFont="1" applyFill="1" applyBorder="1" applyAlignment="1">
      <alignment horizontal="left"/>
    </xf>
    <xf numFmtId="0" fontId="19" fillId="5" borderId="12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left"/>
    </xf>
    <xf numFmtId="0" fontId="24" fillId="7" borderId="31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5" fillId="5" borderId="38" xfId="0" applyFont="1" applyFill="1" applyBorder="1" applyAlignment="1">
      <alignment horizontal="left" vertical="top" wrapText="1"/>
    </xf>
    <xf numFmtId="0" fontId="25" fillId="5" borderId="12" xfId="0" applyFont="1" applyFill="1" applyBorder="1" applyAlignment="1">
      <alignment horizontal="left" vertical="top" wrapText="1"/>
    </xf>
    <xf numFmtId="0" fontId="25" fillId="5" borderId="13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wrapText="1"/>
    </xf>
    <xf numFmtId="0" fontId="14" fillId="6" borderId="12" xfId="0" applyFont="1" applyFill="1" applyBorder="1" applyAlignment="1">
      <alignment horizontal="left" wrapText="1"/>
    </xf>
    <xf numFmtId="0" fontId="14" fillId="6" borderId="13" xfId="0" applyFont="1" applyFill="1" applyBorder="1" applyAlignment="1">
      <alignment horizontal="left" wrapText="1"/>
    </xf>
    <xf numFmtId="0" fontId="19" fillId="8" borderId="38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5" fillId="5" borderId="12" xfId="0" applyFont="1" applyFill="1" applyBorder="1" applyAlignment="1">
      <alignment horizontal="left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left" vertical="center" wrapText="1"/>
    </xf>
    <xf numFmtId="0" fontId="25" fillId="5" borderId="12" xfId="0" applyFont="1" applyFill="1" applyBorder="1" applyAlignment="1">
      <alignment horizontal="left" vertical="center" wrapText="1"/>
    </xf>
    <xf numFmtId="0" fontId="9" fillId="5" borderId="38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9" fillId="5" borderId="38" xfId="0" applyFont="1" applyFill="1" applyBorder="1" applyAlignment="1">
      <alignment horizontal="left" wrapText="1"/>
    </xf>
    <xf numFmtId="0" fontId="19" fillId="5" borderId="12" xfId="0" applyFont="1" applyFill="1" applyBorder="1" applyAlignment="1">
      <alignment horizontal="left" wrapText="1"/>
    </xf>
    <xf numFmtId="0" fontId="19" fillId="5" borderId="13" xfId="0" applyFont="1" applyFill="1" applyBorder="1" applyAlignment="1">
      <alignment horizontal="left" wrapText="1"/>
    </xf>
    <xf numFmtId="0" fontId="15" fillId="6" borderId="38" xfId="0" applyFont="1" applyFill="1" applyBorder="1" applyAlignment="1">
      <alignment horizontal="left" vertical="distributed" wrapText="1"/>
    </xf>
    <xf numFmtId="0" fontId="15" fillId="6" borderId="12" xfId="0" applyFont="1" applyFill="1" applyBorder="1" applyAlignment="1">
      <alignment horizontal="left" vertical="distributed" wrapText="1"/>
    </xf>
    <xf numFmtId="0" fontId="15" fillId="6" borderId="13" xfId="0" applyFont="1" applyFill="1" applyBorder="1" applyAlignment="1">
      <alignment horizontal="left" vertical="distributed" wrapText="1"/>
    </xf>
    <xf numFmtId="0" fontId="25" fillId="5" borderId="38" xfId="0" applyFont="1" applyFill="1" applyBorder="1" applyAlignment="1">
      <alignment horizontal="left"/>
    </xf>
    <xf numFmtId="0" fontId="25" fillId="5" borderId="12" xfId="0" applyFont="1" applyFill="1" applyBorder="1" applyAlignment="1">
      <alignment horizontal="left"/>
    </xf>
    <xf numFmtId="0" fontId="25" fillId="5" borderId="1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6" fillId="0" borderId="0" xfId="0" applyFont="1" applyAlignment="1">
      <alignment horizontal="left" vertical="distributed"/>
    </xf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/>
    <xf numFmtId="0" fontId="28" fillId="12" borderId="45" xfId="0" applyFont="1" applyFill="1" applyBorder="1" applyAlignment="1">
      <alignment horizontal="center" vertical="center"/>
    </xf>
    <xf numFmtId="0" fontId="28" fillId="12" borderId="51" xfId="0" applyFont="1" applyFill="1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49" fontId="41" fillId="0" borderId="0" xfId="0" applyNumberFormat="1" applyFont="1" applyAlignment="1">
      <alignment horizontal="left" vertical="center" wrapText="1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165" fontId="24" fillId="0" borderId="46" xfId="0" applyNumberFormat="1" applyFont="1" applyBorder="1" applyAlignment="1">
      <alignment horizontal="right"/>
    </xf>
    <xf numFmtId="165" fontId="24" fillId="0" borderId="31" xfId="0" applyNumberFormat="1" applyFont="1" applyBorder="1" applyAlignment="1">
      <alignment horizontal="right"/>
    </xf>
    <xf numFmtId="165" fontId="24" fillId="0" borderId="3" xfId="0" applyNumberFormat="1" applyFont="1" applyBorder="1" applyAlignment="1">
      <alignment horizontal="right"/>
    </xf>
    <xf numFmtId="0" fontId="17" fillId="10" borderId="38" xfId="0" applyFont="1" applyFill="1" applyBorder="1" applyAlignment="1">
      <alignment horizontal="center" vertical="distributed"/>
    </xf>
    <xf numFmtId="0" fontId="17" fillId="10" borderId="12" xfId="0" applyFont="1" applyFill="1" applyBorder="1" applyAlignment="1">
      <alignment horizontal="center" vertical="distributed"/>
    </xf>
    <xf numFmtId="0" fontId="17" fillId="10" borderId="22" xfId="0" applyFont="1" applyFill="1" applyBorder="1" applyAlignment="1">
      <alignment horizontal="center" vertical="distributed"/>
    </xf>
    <xf numFmtId="165" fontId="24" fillId="15" borderId="46" xfId="0" applyNumberFormat="1" applyFont="1" applyFill="1" applyBorder="1" applyAlignment="1">
      <alignment horizontal="right"/>
    </xf>
    <xf numFmtId="165" fontId="24" fillId="15" borderId="31" xfId="0" applyNumberFormat="1" applyFont="1" applyFill="1" applyBorder="1" applyAlignment="1">
      <alignment horizontal="right"/>
    </xf>
    <xf numFmtId="165" fontId="24" fillId="15" borderId="3" xfId="0" applyNumberFormat="1" applyFont="1" applyFill="1" applyBorder="1" applyAlignment="1">
      <alignment horizontal="right"/>
    </xf>
    <xf numFmtId="0" fontId="17" fillId="10" borderId="38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165" fontId="24" fillId="0" borderId="18" xfId="0" applyNumberFormat="1" applyFont="1" applyBorder="1" applyAlignment="1">
      <alignment horizontal="right"/>
    </xf>
    <xf numFmtId="165" fontId="21" fillId="0" borderId="46" xfId="0" applyNumberFormat="1" applyFont="1" applyBorder="1" applyAlignment="1">
      <alignment horizontal="right"/>
    </xf>
    <xf numFmtId="165" fontId="21" fillId="0" borderId="31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0" fontId="17" fillId="10" borderId="59" xfId="0" applyFont="1" applyFill="1" applyBorder="1" applyAlignment="1">
      <alignment horizontal="center" vertical="center" wrapText="1"/>
    </xf>
    <xf numFmtId="0" fontId="17" fillId="10" borderId="60" xfId="0" applyFont="1" applyFill="1" applyBorder="1" applyAlignment="1">
      <alignment horizontal="center" vertical="center" wrapText="1"/>
    </xf>
    <xf numFmtId="0" fontId="17" fillId="10" borderId="61" xfId="0" applyFont="1" applyFill="1" applyBorder="1" applyAlignment="1">
      <alignment horizontal="center" vertical="center" wrapText="1"/>
    </xf>
    <xf numFmtId="165" fontId="24" fillId="0" borderId="42" xfId="0" applyNumberFormat="1" applyFont="1" applyBorder="1" applyAlignment="1">
      <alignment horizontal="right"/>
    </xf>
    <xf numFmtId="0" fontId="17" fillId="10" borderId="52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0" borderId="53" xfId="0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9" fillId="0" borderId="3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1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distributed" shrinkToFit="1"/>
    </xf>
    <xf numFmtId="0" fontId="17" fillId="11" borderId="38" xfId="0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vertical="top" wrapText="1"/>
    </xf>
    <xf numFmtId="0" fontId="9" fillId="15" borderId="3" xfId="0" applyFont="1" applyFill="1" applyBorder="1" applyAlignment="1">
      <alignment vertical="top" wrapText="1"/>
    </xf>
    <xf numFmtId="0" fontId="17" fillId="9" borderId="38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10" borderId="59" xfId="0" applyFont="1" applyFill="1" applyBorder="1" applyAlignment="1">
      <alignment horizontal="center" vertical="distributed"/>
    </xf>
    <xf numFmtId="0" fontId="17" fillId="10" borderId="60" xfId="0" applyFont="1" applyFill="1" applyBorder="1" applyAlignment="1">
      <alignment horizontal="center" vertical="distributed"/>
    </xf>
    <xf numFmtId="0" fontId="17" fillId="10" borderId="61" xfId="0" applyFont="1" applyFill="1" applyBorder="1" applyAlignment="1">
      <alignment horizontal="center" vertical="distributed"/>
    </xf>
    <xf numFmtId="165" fontId="24" fillId="15" borderId="42" xfId="0" applyNumberFormat="1" applyFont="1" applyFill="1" applyBorder="1" applyAlignment="1">
      <alignment horizontal="right"/>
    </xf>
    <xf numFmtId="0" fontId="17" fillId="10" borderId="59" xfId="0" applyFont="1" applyFill="1" applyBorder="1" applyAlignment="1">
      <alignment horizontal="center" wrapText="1"/>
    </xf>
    <xf numFmtId="0" fontId="17" fillId="10" borderId="60" xfId="0" applyFont="1" applyFill="1" applyBorder="1" applyAlignment="1">
      <alignment horizontal="center" wrapText="1"/>
    </xf>
    <xf numFmtId="0" fontId="17" fillId="10" borderId="61" xfId="0" applyFont="1" applyFill="1" applyBorder="1" applyAlignment="1">
      <alignment horizontal="center" wrapText="1"/>
    </xf>
    <xf numFmtId="0" fontId="17" fillId="10" borderId="57" xfId="0" applyFont="1" applyFill="1" applyBorder="1" applyAlignment="1">
      <alignment horizontal="center" vertical="distributed"/>
    </xf>
    <xf numFmtId="0" fontId="17" fillId="10" borderId="58" xfId="0" applyFont="1" applyFill="1" applyBorder="1" applyAlignment="1">
      <alignment horizontal="center" vertical="distributed"/>
    </xf>
    <xf numFmtId="0" fontId="17" fillId="10" borderId="14" xfId="0" applyFont="1" applyFill="1" applyBorder="1" applyAlignment="1">
      <alignment horizontal="center" vertical="distributed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9E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6"/>
  <sheetViews>
    <sheetView view="pageBreakPreview" zoomScale="115" zoomScaleNormal="100" zoomScaleSheetLayoutView="115" workbookViewId="0">
      <selection activeCell="A278" sqref="A278:J278"/>
    </sheetView>
  </sheetViews>
  <sheetFormatPr defaultColWidth="9.140625" defaultRowHeight="12.75" x14ac:dyDescent="0.2"/>
  <cols>
    <col min="1" max="1" width="9" style="2" customWidth="1"/>
    <col min="2" max="2" width="4.140625" style="2" customWidth="1"/>
    <col min="3" max="3" width="7.42578125" style="2" customWidth="1"/>
    <col min="4" max="4" width="60.7109375" style="2" customWidth="1"/>
    <col min="5" max="5" width="20.42578125" style="2" hidden="1" customWidth="1"/>
    <col min="6" max="6" width="14.7109375" style="168" customWidth="1"/>
    <col min="7" max="8" width="14.7109375" style="278" customWidth="1"/>
    <col min="9" max="9" width="6.7109375" style="168" customWidth="1"/>
    <col min="10" max="10" width="7.140625" style="168" customWidth="1"/>
    <col min="11" max="16384" width="9.140625" style="2"/>
  </cols>
  <sheetData>
    <row r="2" spans="1:10" s="79" customFormat="1" ht="16.5" customHeight="1" x14ac:dyDescent="0.2">
      <c r="A2" s="773" t="s">
        <v>171</v>
      </c>
      <c r="B2" s="773"/>
      <c r="C2" s="773"/>
      <c r="D2" s="773"/>
      <c r="E2" s="773"/>
      <c r="F2" s="773"/>
      <c r="G2" s="773"/>
      <c r="H2" s="773"/>
      <c r="I2" s="773"/>
      <c r="J2" s="773"/>
    </row>
    <row r="3" spans="1:10" s="79" customFormat="1" ht="18" customHeight="1" x14ac:dyDescent="0.2">
      <c r="A3" s="773" t="s">
        <v>114</v>
      </c>
      <c r="B3" s="773"/>
      <c r="C3" s="773"/>
      <c r="D3" s="773"/>
      <c r="E3" s="773"/>
      <c r="F3" s="773"/>
      <c r="G3" s="773"/>
      <c r="H3" s="773"/>
      <c r="I3" s="773"/>
      <c r="J3" s="773"/>
    </row>
    <row r="4" spans="1:10" s="79" customFormat="1" ht="30" customHeight="1" x14ac:dyDescent="0.2">
      <c r="A4" s="788" t="s">
        <v>280</v>
      </c>
      <c r="B4" s="788"/>
      <c r="C4" s="788"/>
      <c r="D4" s="788"/>
      <c r="E4" s="788"/>
      <c r="F4" s="788"/>
      <c r="G4" s="788"/>
      <c r="H4" s="788"/>
      <c r="I4" s="788"/>
      <c r="J4" s="788"/>
    </row>
    <row r="5" spans="1:10" ht="13.5" customHeight="1" thickBot="1" x14ac:dyDescent="0.25">
      <c r="A5" s="81"/>
      <c r="B5" s="81"/>
      <c r="C5" s="81"/>
      <c r="D5" s="81"/>
      <c r="E5" s="81"/>
      <c r="F5" s="243"/>
      <c r="G5" s="303"/>
      <c r="H5" s="303"/>
      <c r="I5" s="224"/>
      <c r="J5" s="224"/>
    </row>
    <row r="6" spans="1:10" s="40" customFormat="1" ht="36.75" customHeight="1" thickBot="1" x14ac:dyDescent="0.25">
      <c r="A6" s="313" t="s">
        <v>172</v>
      </c>
      <c r="B6" s="82" t="s">
        <v>109</v>
      </c>
      <c r="C6" s="83" t="s">
        <v>10</v>
      </c>
      <c r="D6" s="84" t="s">
        <v>173</v>
      </c>
      <c r="E6" s="83" t="s">
        <v>174</v>
      </c>
      <c r="F6" s="83" t="s">
        <v>175</v>
      </c>
      <c r="G6" s="301" t="s">
        <v>176</v>
      </c>
      <c r="H6" s="301" t="s">
        <v>177</v>
      </c>
      <c r="I6" s="320" t="s">
        <v>341</v>
      </c>
      <c r="J6" s="321" t="s">
        <v>343</v>
      </c>
    </row>
    <row r="7" spans="1:10" s="257" customFormat="1" ht="12" thickBot="1" x14ac:dyDescent="0.25">
      <c r="A7" s="254">
        <v>1</v>
      </c>
      <c r="B7" s="255">
        <v>2</v>
      </c>
      <c r="C7" s="256">
        <v>3</v>
      </c>
      <c r="D7" s="255">
        <v>4</v>
      </c>
      <c r="E7" s="255">
        <v>2</v>
      </c>
      <c r="F7" s="255">
        <v>5</v>
      </c>
      <c r="G7" s="302">
        <v>6</v>
      </c>
      <c r="H7" s="302">
        <v>7</v>
      </c>
      <c r="I7" s="314">
        <v>8</v>
      </c>
      <c r="J7" s="315">
        <v>9</v>
      </c>
    </row>
    <row r="8" spans="1:10" s="216" customFormat="1" ht="36" customHeight="1" thickBot="1" x14ac:dyDescent="0.3">
      <c r="A8" s="798" t="s">
        <v>288</v>
      </c>
      <c r="B8" s="799"/>
      <c r="C8" s="799"/>
      <c r="D8" s="799"/>
      <c r="E8" s="215">
        <f>SUM(E499)</f>
        <v>5608000</v>
      </c>
      <c r="F8" s="258">
        <f>SUM(F499)</f>
        <v>8864000</v>
      </c>
      <c r="G8" s="258">
        <f>SUM(G499)</f>
        <v>5897500</v>
      </c>
      <c r="H8" s="258">
        <f>SUM(H499)</f>
        <v>6257000</v>
      </c>
      <c r="I8" s="245">
        <f>AVERAGE(G8/F8*100)</f>
        <v>66.53316787003611</v>
      </c>
      <c r="J8" s="245">
        <f>AVERAGE(H8/G8*100)</f>
        <v>106.09580330648581</v>
      </c>
    </row>
    <row r="9" spans="1:10" s="208" customFormat="1" ht="18.75" thickBot="1" x14ac:dyDescent="0.3">
      <c r="A9" s="86"/>
      <c r="B9" s="86"/>
      <c r="C9" s="86"/>
      <c r="D9" s="86"/>
      <c r="E9" s="87"/>
      <c r="F9" s="259"/>
      <c r="G9" s="259"/>
      <c r="H9" s="259"/>
      <c r="I9" s="225"/>
      <c r="J9" s="225"/>
    </row>
    <row r="10" spans="1:10" s="97" customFormat="1" ht="15" customHeight="1" thickBot="1" x14ac:dyDescent="0.3">
      <c r="A10" s="808" t="s">
        <v>269</v>
      </c>
      <c r="B10" s="809"/>
      <c r="C10" s="809"/>
      <c r="D10" s="809"/>
      <c r="E10" s="196">
        <f>SUM(E12+E27)</f>
        <v>61000</v>
      </c>
      <c r="F10" s="261">
        <f>SUM(F12+F27)</f>
        <v>94000</v>
      </c>
      <c r="G10" s="261">
        <f>SUM(G12+G27)</f>
        <v>88000</v>
      </c>
      <c r="H10" s="261">
        <f>SUM(H12+H27)</f>
        <v>87000</v>
      </c>
      <c r="I10" s="226">
        <f>AVERAGE(G10/F10*100)</f>
        <v>93.61702127659575</v>
      </c>
      <c r="J10" s="226">
        <f>AVERAGE(H10/G10*100)</f>
        <v>98.86363636363636</v>
      </c>
    </row>
    <row r="11" spans="1:10" s="154" customFormat="1" ht="17.25" customHeight="1" thickBot="1" x14ac:dyDescent="0.3">
      <c r="A11" s="89"/>
      <c r="B11" s="89"/>
      <c r="C11" s="89"/>
      <c r="D11" s="89"/>
      <c r="E11" s="90"/>
      <c r="F11" s="262"/>
      <c r="G11" s="262"/>
      <c r="H11" s="262"/>
      <c r="I11" s="227"/>
      <c r="J11" s="227"/>
    </row>
    <row r="12" spans="1:10" s="92" customFormat="1" ht="15.75" customHeight="1" thickBot="1" x14ac:dyDescent="0.3">
      <c r="A12" s="774" t="s">
        <v>267</v>
      </c>
      <c r="B12" s="775"/>
      <c r="C12" s="775"/>
      <c r="D12" s="776"/>
      <c r="E12" s="91">
        <f>SUM(E16)</f>
        <v>61000</v>
      </c>
      <c r="F12" s="263">
        <f>SUM(F16)</f>
        <v>69000</v>
      </c>
      <c r="G12" s="263">
        <f>SUM(G16)</f>
        <v>66000</v>
      </c>
      <c r="H12" s="263">
        <f>SUM(H16)</f>
        <v>66000</v>
      </c>
      <c r="I12" s="228">
        <f>AVERAGE(G12/F12*100)</f>
        <v>95.652173913043484</v>
      </c>
      <c r="J12" s="228">
        <f>AVERAGE(H12/G12*100)</f>
        <v>100</v>
      </c>
    </row>
    <row r="13" spans="1:10" s="209" customFormat="1" ht="16.5" customHeight="1" x14ac:dyDescent="0.25">
      <c r="A13" s="93"/>
      <c r="B13" s="93"/>
      <c r="C13" s="93"/>
      <c r="D13" s="93"/>
      <c r="E13" s="94"/>
      <c r="F13" s="264"/>
      <c r="G13" s="264"/>
      <c r="H13" s="264"/>
      <c r="I13" s="227"/>
      <c r="J13" s="227"/>
    </row>
    <row r="14" spans="1:10" s="97" customFormat="1" ht="15.75" x14ac:dyDescent="0.25">
      <c r="A14" s="1"/>
      <c r="B14" s="1"/>
      <c r="C14" s="1"/>
      <c r="D14" s="95" t="s">
        <v>178</v>
      </c>
      <c r="E14" s="96"/>
      <c r="F14" s="265"/>
      <c r="G14" s="265"/>
      <c r="H14" s="304"/>
      <c r="I14" s="233"/>
      <c r="J14" s="233"/>
    </row>
    <row r="15" spans="1:10" s="1" customFormat="1" ht="15" x14ac:dyDescent="0.25">
      <c r="D15" s="223" t="s">
        <v>179</v>
      </c>
      <c r="E15" s="98"/>
      <c r="F15" s="266"/>
      <c r="G15" s="266"/>
      <c r="H15" s="305"/>
      <c r="I15" s="234"/>
      <c r="J15" s="234"/>
    </row>
    <row r="16" spans="1:10" s="1" customFormat="1" ht="15" x14ac:dyDescent="0.25">
      <c r="A16" s="99"/>
      <c r="B16" s="99"/>
      <c r="C16" s="99"/>
      <c r="D16" s="247" t="s">
        <v>291</v>
      </c>
      <c r="E16" s="100">
        <f>SUM(E17+E23)</f>
        <v>61000</v>
      </c>
      <c r="F16" s="267">
        <f>SUM(F17+F23)</f>
        <v>69000</v>
      </c>
      <c r="G16" s="267">
        <f>SUM(G17+G23)</f>
        <v>66000</v>
      </c>
      <c r="H16" s="309">
        <f>SUM(H17+H23)</f>
        <v>66000</v>
      </c>
      <c r="I16" s="311">
        <f>AVERAGE(G16/F16*100)</f>
        <v>95.652173913043484</v>
      </c>
      <c r="J16" s="311">
        <f>AVERAGE(H16/G16*100)</f>
        <v>100</v>
      </c>
    </row>
    <row r="17" spans="1:10" s="1" customFormat="1" x14ac:dyDescent="0.2">
      <c r="A17" s="131" t="s">
        <v>292</v>
      </c>
      <c r="B17" s="101"/>
      <c r="C17" s="102">
        <v>32</v>
      </c>
      <c r="D17" s="101" t="s">
        <v>180</v>
      </c>
      <c r="E17" s="103">
        <f>SUM(E18+E20)</f>
        <v>50000</v>
      </c>
      <c r="F17" s="268">
        <f>SUM(F18+F20)</f>
        <v>58000</v>
      </c>
      <c r="G17" s="268">
        <v>55000</v>
      </c>
      <c r="H17" s="268">
        <v>55000</v>
      </c>
      <c r="I17" s="310">
        <f>AVERAGE(G17/F17*100)</f>
        <v>94.827586206896555</v>
      </c>
      <c r="J17" s="310">
        <f>AVERAGE(H17/G17*100)</f>
        <v>100</v>
      </c>
    </row>
    <row r="18" spans="1:10" s="130" customFormat="1" ht="15" x14ac:dyDescent="0.2">
      <c r="A18" s="131" t="s">
        <v>292</v>
      </c>
      <c r="B18" s="129"/>
      <c r="C18" s="126">
        <v>323</v>
      </c>
      <c r="D18" s="127" t="s">
        <v>56</v>
      </c>
      <c r="E18" s="128">
        <f>SUM(E19)</f>
        <v>0</v>
      </c>
      <c r="F18" s="269">
        <f>SUM(F19)</f>
        <v>5000</v>
      </c>
      <c r="G18" s="269"/>
      <c r="H18" s="269"/>
      <c r="I18" s="310">
        <f t="shared" ref="I18:J25" si="0">AVERAGE(G18/F18*100)</f>
        <v>0</v>
      </c>
      <c r="J18" s="310"/>
    </row>
    <row r="19" spans="1:10" s="112" customFormat="1" ht="14.25" hidden="1" x14ac:dyDescent="0.2">
      <c r="A19" s="131" t="s">
        <v>292</v>
      </c>
      <c r="B19" s="129">
        <v>1</v>
      </c>
      <c r="C19" s="132">
        <v>3233</v>
      </c>
      <c r="D19" s="133" t="s">
        <v>59</v>
      </c>
      <c r="E19" s="134">
        <v>0</v>
      </c>
      <c r="F19" s="270">
        <v>5000</v>
      </c>
      <c r="G19" s="270"/>
      <c r="H19" s="270"/>
      <c r="I19" s="310">
        <f t="shared" si="0"/>
        <v>0</v>
      </c>
      <c r="J19" s="310"/>
    </row>
    <row r="20" spans="1:10" s="104" customFormat="1" ht="15" x14ac:dyDescent="0.25">
      <c r="A20" s="131" t="s">
        <v>292</v>
      </c>
      <c r="B20" s="101"/>
      <c r="C20" s="102">
        <v>329</v>
      </c>
      <c r="D20" s="101" t="s">
        <v>65</v>
      </c>
      <c r="E20" s="103">
        <f>SUM(E21:E22)</f>
        <v>50000</v>
      </c>
      <c r="F20" s="268">
        <f>SUM(F21:F22)</f>
        <v>53000</v>
      </c>
      <c r="G20" s="268"/>
      <c r="H20" s="268"/>
      <c r="I20" s="310">
        <f t="shared" si="0"/>
        <v>0</v>
      </c>
      <c r="J20" s="310"/>
    </row>
    <row r="21" spans="1:10" s="104" customFormat="1" ht="15" hidden="1" x14ac:dyDescent="0.25">
      <c r="A21" s="131" t="s">
        <v>292</v>
      </c>
      <c r="B21" s="105">
        <v>2</v>
      </c>
      <c r="C21" s="106">
        <v>3291</v>
      </c>
      <c r="D21" s="105" t="s">
        <v>66</v>
      </c>
      <c r="E21" s="107">
        <v>50000</v>
      </c>
      <c r="F21" s="271">
        <v>50000</v>
      </c>
      <c r="G21" s="271"/>
      <c r="H21" s="271"/>
      <c r="I21" s="310">
        <f t="shared" si="0"/>
        <v>0</v>
      </c>
      <c r="J21" s="310"/>
    </row>
    <row r="22" spans="1:10" s="104" customFormat="1" ht="15" hidden="1" x14ac:dyDescent="0.25">
      <c r="A22" s="131" t="s">
        <v>292</v>
      </c>
      <c r="B22" s="105">
        <v>3</v>
      </c>
      <c r="C22" s="106">
        <v>3293</v>
      </c>
      <c r="D22" s="105" t="s">
        <v>68</v>
      </c>
      <c r="E22" s="107">
        <v>0</v>
      </c>
      <c r="F22" s="271">
        <v>3000</v>
      </c>
      <c r="G22" s="271"/>
      <c r="H22" s="271"/>
      <c r="I22" s="310">
        <f t="shared" si="0"/>
        <v>0</v>
      </c>
      <c r="J22" s="310"/>
    </row>
    <row r="23" spans="1:10" s="1" customFormat="1" x14ac:dyDescent="0.2">
      <c r="A23" s="131" t="s">
        <v>292</v>
      </c>
      <c r="B23" s="101"/>
      <c r="C23" s="102">
        <v>38</v>
      </c>
      <c r="D23" s="101" t="s">
        <v>85</v>
      </c>
      <c r="E23" s="103">
        <f>SUM(E24)</f>
        <v>11000</v>
      </c>
      <c r="F23" s="268">
        <f>SUM(F24)</f>
        <v>11000</v>
      </c>
      <c r="G23" s="268">
        <v>11000</v>
      </c>
      <c r="H23" s="268">
        <v>11000</v>
      </c>
      <c r="I23" s="310">
        <f t="shared" si="0"/>
        <v>100</v>
      </c>
      <c r="J23" s="310">
        <f t="shared" si="0"/>
        <v>100</v>
      </c>
    </row>
    <row r="24" spans="1:10" s="104" customFormat="1" ht="15" x14ac:dyDescent="0.25">
      <c r="A24" s="131" t="s">
        <v>292</v>
      </c>
      <c r="B24" s="101"/>
      <c r="C24" s="102">
        <v>381</v>
      </c>
      <c r="D24" s="101" t="s">
        <v>37</v>
      </c>
      <c r="E24" s="103">
        <f>SUM(E25)</f>
        <v>11000</v>
      </c>
      <c r="F24" s="268">
        <f>SUM(F25)</f>
        <v>11000</v>
      </c>
      <c r="G24" s="268"/>
      <c r="H24" s="268"/>
      <c r="I24" s="310">
        <f t="shared" si="0"/>
        <v>0</v>
      </c>
      <c r="J24" s="310"/>
    </row>
    <row r="25" spans="1:10" s="104" customFormat="1" ht="15" hidden="1" x14ac:dyDescent="0.25">
      <c r="A25" s="131" t="s">
        <v>292</v>
      </c>
      <c r="B25" s="105">
        <v>4</v>
      </c>
      <c r="C25" s="106">
        <v>381142</v>
      </c>
      <c r="D25" s="105" t="s">
        <v>83</v>
      </c>
      <c r="E25" s="107">
        <v>11000</v>
      </c>
      <c r="F25" s="271">
        <v>11000</v>
      </c>
      <c r="G25" s="271"/>
      <c r="H25" s="271"/>
      <c r="I25" s="310">
        <f t="shared" si="0"/>
        <v>0</v>
      </c>
      <c r="J25" s="310"/>
    </row>
    <row r="26" spans="1:10" s="104" customFormat="1" ht="15.75" thickBot="1" x14ac:dyDescent="0.3">
      <c r="A26" s="109"/>
      <c r="B26" s="109"/>
      <c r="C26" s="110"/>
      <c r="D26" s="109"/>
      <c r="E26" s="111"/>
      <c r="F26" s="272"/>
      <c r="G26" s="273"/>
      <c r="H26" s="273"/>
      <c r="I26" s="232"/>
      <c r="J26" s="232"/>
    </row>
    <row r="27" spans="1:10" s="92" customFormat="1" ht="15.75" customHeight="1" thickBot="1" x14ac:dyDescent="0.3">
      <c r="A27" s="774" t="s">
        <v>268</v>
      </c>
      <c r="B27" s="775"/>
      <c r="C27" s="775"/>
      <c r="D27" s="776"/>
      <c r="E27" s="91">
        <f>SUM(E31)</f>
        <v>0</v>
      </c>
      <c r="F27" s="263">
        <f>SUM(F31)</f>
        <v>25000</v>
      </c>
      <c r="G27" s="263">
        <f>SUM(G31)</f>
        <v>22000</v>
      </c>
      <c r="H27" s="263">
        <f>SUM(H31)</f>
        <v>21000</v>
      </c>
      <c r="I27" s="228">
        <f>AVERAGE(G27/F27*100)</f>
        <v>88</v>
      </c>
      <c r="J27" s="228">
        <f>AVERAGE(H27/G27*100)</f>
        <v>95.454545454545453</v>
      </c>
    </row>
    <row r="28" spans="1:10" s="209" customFormat="1" ht="16.5" customHeight="1" x14ac:dyDescent="0.25">
      <c r="A28" s="93"/>
      <c r="B28" s="93"/>
      <c r="C28" s="93"/>
      <c r="D28" s="93"/>
      <c r="E28" s="94"/>
      <c r="F28" s="264"/>
      <c r="G28" s="264"/>
      <c r="H28" s="264"/>
      <c r="I28" s="227"/>
      <c r="J28" s="227"/>
    </row>
    <row r="29" spans="1:10" s="97" customFormat="1" ht="15.75" x14ac:dyDescent="0.25">
      <c r="A29" s="1"/>
      <c r="B29" s="1"/>
      <c r="C29" s="1"/>
      <c r="D29" s="95" t="s">
        <v>178</v>
      </c>
      <c r="E29" s="96"/>
      <c r="F29" s="265"/>
      <c r="G29" s="265"/>
      <c r="H29" s="265"/>
      <c r="I29" s="229"/>
      <c r="J29" s="229"/>
    </row>
    <row r="30" spans="1:10" s="1" customFormat="1" ht="15" x14ac:dyDescent="0.25">
      <c r="D30" s="223" t="s">
        <v>179</v>
      </c>
      <c r="E30" s="98"/>
      <c r="F30" s="266"/>
      <c r="G30" s="266"/>
      <c r="H30" s="266"/>
      <c r="I30" s="230"/>
      <c r="J30" s="230"/>
    </row>
    <row r="31" spans="1:10" s="1" customFormat="1" ht="15" x14ac:dyDescent="0.25">
      <c r="A31" s="99"/>
      <c r="B31" s="99"/>
      <c r="C31" s="99"/>
      <c r="D31" s="247" t="s">
        <v>294</v>
      </c>
      <c r="E31" s="100">
        <f>SUM(E32+E38)</f>
        <v>0</v>
      </c>
      <c r="F31" s="267">
        <f>SUM(F32+F38)</f>
        <v>25000</v>
      </c>
      <c r="G31" s="267">
        <f>SUM(G32+G38)</f>
        <v>22000</v>
      </c>
      <c r="H31" s="267">
        <f>SUM(H32+H38)</f>
        <v>21000</v>
      </c>
      <c r="I31" s="311">
        <f>AVERAGE(G31/F31*100)</f>
        <v>88</v>
      </c>
      <c r="J31" s="311">
        <f>AVERAGE(H31/G31*100)</f>
        <v>95.454545454545453</v>
      </c>
    </row>
    <row r="32" spans="1:10" s="1" customFormat="1" x14ac:dyDescent="0.2">
      <c r="A32" s="131" t="s">
        <v>293</v>
      </c>
      <c r="B32" s="101"/>
      <c r="C32" s="102">
        <v>32</v>
      </c>
      <c r="D32" s="101" t="s">
        <v>180</v>
      </c>
      <c r="E32" s="103">
        <f>SUM(E33+E35)</f>
        <v>0</v>
      </c>
      <c r="F32" s="268">
        <f>SUM(F33+F35)</f>
        <v>22000</v>
      </c>
      <c r="G32" s="268">
        <v>20000</v>
      </c>
      <c r="H32" s="268">
        <v>20000</v>
      </c>
      <c r="I32" s="310">
        <f t="shared" ref="I32:J40" si="1">AVERAGE(G32/F32*100)</f>
        <v>90.909090909090907</v>
      </c>
      <c r="J32" s="310">
        <f t="shared" si="1"/>
        <v>100</v>
      </c>
    </row>
    <row r="33" spans="1:10" s="130" customFormat="1" ht="15" x14ac:dyDescent="0.2">
      <c r="A33" s="131" t="s">
        <v>293</v>
      </c>
      <c r="B33" s="129"/>
      <c r="C33" s="126">
        <v>323</v>
      </c>
      <c r="D33" s="127" t="s">
        <v>56</v>
      </c>
      <c r="E33" s="128">
        <f>SUM(E34)</f>
        <v>0</v>
      </c>
      <c r="F33" s="269">
        <f>SUM(F34)</f>
        <v>10000</v>
      </c>
      <c r="G33" s="269"/>
      <c r="H33" s="269"/>
      <c r="I33" s="310">
        <f t="shared" si="1"/>
        <v>0</v>
      </c>
      <c r="J33" s="310"/>
    </row>
    <row r="34" spans="1:10" s="112" customFormat="1" ht="14.25" hidden="1" x14ac:dyDescent="0.2">
      <c r="A34" s="131" t="s">
        <v>293</v>
      </c>
      <c r="B34" s="129">
        <v>5</v>
      </c>
      <c r="C34" s="132">
        <v>3233</v>
      </c>
      <c r="D34" s="133" t="s">
        <v>59</v>
      </c>
      <c r="E34" s="134">
        <v>0</v>
      </c>
      <c r="F34" s="270">
        <v>10000</v>
      </c>
      <c r="G34" s="270"/>
      <c r="H34" s="270"/>
      <c r="I34" s="310">
        <f t="shared" si="1"/>
        <v>0</v>
      </c>
      <c r="J34" s="310"/>
    </row>
    <row r="35" spans="1:10" s="104" customFormat="1" ht="15" x14ac:dyDescent="0.25">
      <c r="A35" s="131" t="s">
        <v>293</v>
      </c>
      <c r="B35" s="101"/>
      <c r="C35" s="102">
        <v>329</v>
      </c>
      <c r="D35" s="101" t="s">
        <v>65</v>
      </c>
      <c r="E35" s="103">
        <f>SUM(E36:E37)</f>
        <v>0</v>
      </c>
      <c r="F35" s="268">
        <f>SUM(F36:F37)</f>
        <v>12000</v>
      </c>
      <c r="G35" s="268"/>
      <c r="H35" s="268"/>
      <c r="I35" s="310">
        <f t="shared" si="1"/>
        <v>0</v>
      </c>
      <c r="J35" s="310"/>
    </row>
    <row r="36" spans="1:10" s="104" customFormat="1" ht="15" hidden="1" x14ac:dyDescent="0.25">
      <c r="A36" s="131" t="s">
        <v>293</v>
      </c>
      <c r="B36" s="105">
        <v>6</v>
      </c>
      <c r="C36" s="106">
        <v>3293</v>
      </c>
      <c r="D36" s="105" t="s">
        <v>68</v>
      </c>
      <c r="E36" s="107">
        <v>0</v>
      </c>
      <c r="F36" s="271">
        <v>2000</v>
      </c>
      <c r="G36" s="271"/>
      <c r="H36" s="271"/>
      <c r="I36" s="310">
        <f t="shared" si="1"/>
        <v>0</v>
      </c>
      <c r="J36" s="310"/>
    </row>
    <row r="37" spans="1:10" s="104" customFormat="1" ht="15" hidden="1" x14ac:dyDescent="0.25">
      <c r="A37" s="131" t="s">
        <v>293</v>
      </c>
      <c r="B37" s="105">
        <v>7</v>
      </c>
      <c r="C37" s="106">
        <v>3299</v>
      </c>
      <c r="D37" s="105" t="s">
        <v>65</v>
      </c>
      <c r="E37" s="107">
        <v>0</v>
      </c>
      <c r="F37" s="271">
        <v>10000</v>
      </c>
      <c r="G37" s="271"/>
      <c r="H37" s="271"/>
      <c r="I37" s="310">
        <f t="shared" si="1"/>
        <v>0</v>
      </c>
      <c r="J37" s="310"/>
    </row>
    <row r="38" spans="1:10" s="1" customFormat="1" x14ac:dyDescent="0.2">
      <c r="A38" s="131" t="s">
        <v>293</v>
      </c>
      <c r="B38" s="101"/>
      <c r="C38" s="102">
        <v>38</v>
      </c>
      <c r="D38" s="101" t="s">
        <v>85</v>
      </c>
      <c r="E38" s="103">
        <f>SUM(E39)</f>
        <v>0</v>
      </c>
      <c r="F38" s="268">
        <f>SUM(F39)</f>
        <v>3000</v>
      </c>
      <c r="G38" s="268">
        <v>2000</v>
      </c>
      <c r="H38" s="268">
        <v>1000</v>
      </c>
      <c r="I38" s="310">
        <f t="shared" si="1"/>
        <v>66.666666666666657</v>
      </c>
      <c r="J38" s="310">
        <f t="shared" si="1"/>
        <v>50</v>
      </c>
    </row>
    <row r="39" spans="1:10" s="104" customFormat="1" ht="15" x14ac:dyDescent="0.25">
      <c r="A39" s="131" t="s">
        <v>293</v>
      </c>
      <c r="B39" s="101"/>
      <c r="C39" s="102">
        <v>381</v>
      </c>
      <c r="D39" s="101" t="s">
        <v>37</v>
      </c>
      <c r="E39" s="103">
        <f>SUM(E40)</f>
        <v>0</v>
      </c>
      <c r="F39" s="268">
        <f>SUM(F40)</f>
        <v>3000</v>
      </c>
      <c r="G39" s="268"/>
      <c r="H39" s="268"/>
      <c r="I39" s="310">
        <f t="shared" si="1"/>
        <v>0</v>
      </c>
      <c r="J39" s="310"/>
    </row>
    <row r="40" spans="1:10" s="104" customFormat="1" ht="15" hidden="1" x14ac:dyDescent="0.25">
      <c r="A40" s="131" t="s">
        <v>293</v>
      </c>
      <c r="B40" s="105">
        <v>8</v>
      </c>
      <c r="C40" s="106">
        <v>3811</v>
      </c>
      <c r="D40" s="105" t="s">
        <v>37</v>
      </c>
      <c r="E40" s="107">
        <v>0</v>
      </c>
      <c r="F40" s="271">
        <v>3000</v>
      </c>
      <c r="G40" s="271"/>
      <c r="H40" s="271"/>
      <c r="I40" s="310">
        <f t="shared" si="1"/>
        <v>0</v>
      </c>
      <c r="J40" s="310"/>
    </row>
    <row r="41" spans="1:10" s="104" customFormat="1" ht="15.75" thickBot="1" x14ac:dyDescent="0.3">
      <c r="A41" s="109"/>
      <c r="B41" s="109"/>
      <c r="C41" s="110"/>
      <c r="D41" s="109"/>
      <c r="E41" s="111"/>
      <c r="F41" s="273"/>
      <c r="G41" s="273"/>
      <c r="H41" s="273"/>
      <c r="I41" s="232"/>
      <c r="J41" s="232"/>
    </row>
    <row r="42" spans="1:10" s="112" customFormat="1" ht="17.25" thickBot="1" x14ac:dyDescent="0.3">
      <c r="A42" s="810" t="s">
        <v>270</v>
      </c>
      <c r="B42" s="811"/>
      <c r="C42" s="811"/>
      <c r="D42" s="812"/>
      <c r="E42" s="88">
        <f>SUM(E44)</f>
        <v>2116000</v>
      </c>
      <c r="F42" s="274">
        <f>SUM(F44)</f>
        <v>1273000</v>
      </c>
      <c r="G42" s="274">
        <f>SUM(G44)</f>
        <v>1260000</v>
      </c>
      <c r="H42" s="274">
        <f>SUM(H44)</f>
        <v>1230000</v>
      </c>
      <c r="I42" s="226">
        <f>AVERAGE(G42/F42*100)</f>
        <v>98.978790259230166</v>
      </c>
      <c r="J42" s="226">
        <f>AVERAGE(H42/G42*100)</f>
        <v>97.61904761904762</v>
      </c>
    </row>
    <row r="43" spans="1:10" s="112" customFormat="1" ht="16.5" thickBot="1" x14ac:dyDescent="0.3">
      <c r="A43" s="113"/>
      <c r="B43" s="97"/>
      <c r="C43" s="97"/>
      <c r="D43" s="97"/>
      <c r="E43" s="94"/>
      <c r="F43" s="264"/>
      <c r="G43" s="264"/>
      <c r="H43" s="264"/>
      <c r="I43" s="227"/>
      <c r="J43" s="227"/>
    </row>
    <row r="44" spans="1:10" s="112" customFormat="1" ht="16.5" thickBot="1" x14ac:dyDescent="0.3">
      <c r="A44" s="813" t="s">
        <v>271</v>
      </c>
      <c r="B44" s="814"/>
      <c r="C44" s="814"/>
      <c r="D44" s="815"/>
      <c r="E44" s="91">
        <f>SUM(E48+E66+E101+E111+E118+E125)</f>
        <v>2116000</v>
      </c>
      <c r="F44" s="263">
        <f>SUM(F48+F66+F101+F111+F118+F125)</f>
        <v>1273000</v>
      </c>
      <c r="G44" s="263">
        <f>SUM(G48+G66+G101+G111+G118+G125)</f>
        <v>1260000</v>
      </c>
      <c r="H44" s="263">
        <f>SUM(H48+H66+H101+H111+H118+H125)</f>
        <v>1230000</v>
      </c>
      <c r="I44" s="228">
        <f>AVERAGE(G44/F44*100)</f>
        <v>98.978790259230166</v>
      </c>
      <c r="J44" s="228">
        <f>AVERAGE(H44/G44*100)</f>
        <v>97.61904761904762</v>
      </c>
    </row>
    <row r="45" spans="1:10" s="112" customFormat="1" ht="15.75" x14ac:dyDescent="0.25">
      <c r="A45" s="114"/>
      <c r="B45" s="115"/>
      <c r="C45" s="115"/>
      <c r="D45" s="114"/>
      <c r="E45" s="94"/>
      <c r="F45" s="264"/>
      <c r="G45" s="264"/>
      <c r="H45" s="264"/>
      <c r="I45" s="227"/>
      <c r="J45" s="227"/>
    </row>
    <row r="46" spans="1:10" s="112" customFormat="1" ht="15" x14ac:dyDescent="0.25">
      <c r="A46" s="116"/>
      <c r="B46" s="116"/>
      <c r="C46" s="116"/>
      <c r="D46" s="117" t="s">
        <v>181</v>
      </c>
      <c r="E46" s="118"/>
      <c r="F46" s="275"/>
      <c r="G46" s="304"/>
      <c r="H46" s="307"/>
      <c r="I46" s="233"/>
      <c r="J46" s="233"/>
    </row>
    <row r="47" spans="1:10" s="112" customFormat="1" ht="15" x14ac:dyDescent="0.25">
      <c r="A47" s="116"/>
      <c r="B47" s="116"/>
      <c r="C47" s="116"/>
      <c r="D47" s="220" t="s">
        <v>182</v>
      </c>
      <c r="E47" s="120"/>
      <c r="F47" s="276"/>
      <c r="G47" s="305"/>
      <c r="H47" s="308"/>
      <c r="I47" s="234"/>
      <c r="J47" s="234"/>
    </row>
    <row r="48" spans="1:10" s="112" customFormat="1" ht="15" x14ac:dyDescent="0.25">
      <c r="A48" s="122"/>
      <c r="B48" s="122"/>
      <c r="C48" s="122"/>
      <c r="D48" s="246" t="s">
        <v>272</v>
      </c>
      <c r="E48" s="123">
        <f>SUM(E49+E57)</f>
        <v>694000</v>
      </c>
      <c r="F48" s="277">
        <f>SUM(F49+F57)</f>
        <v>614000</v>
      </c>
      <c r="G48" s="277">
        <f>SUM(G49+G57)</f>
        <v>620000</v>
      </c>
      <c r="H48" s="277">
        <f>SUM(H49+H57)</f>
        <v>625000</v>
      </c>
      <c r="I48" s="311">
        <f>AVERAGE(G48/F48*100)</f>
        <v>100.9771986970684</v>
      </c>
      <c r="J48" s="311">
        <f>AVERAGE(H48/G48*100)</f>
        <v>100.80645161290323</v>
      </c>
    </row>
    <row r="49" spans="1:10" s="112" customFormat="1" ht="14.25" x14ac:dyDescent="0.2">
      <c r="A49" s="131" t="s">
        <v>292</v>
      </c>
      <c r="B49" s="125"/>
      <c r="C49" s="126">
        <v>31</v>
      </c>
      <c r="D49" s="127" t="s">
        <v>41</v>
      </c>
      <c r="E49" s="128">
        <f>SUM(E50+E52+E54)</f>
        <v>613000</v>
      </c>
      <c r="F49" s="269">
        <f>SUM(F50+F52+F54)</f>
        <v>533000</v>
      </c>
      <c r="G49" s="269">
        <v>540000</v>
      </c>
      <c r="H49" s="269">
        <v>550000</v>
      </c>
      <c r="I49" s="310">
        <f t="shared" ref="I49:J62" si="2">AVERAGE(G49/F49*100)</f>
        <v>101.31332082551594</v>
      </c>
      <c r="J49" s="310">
        <f t="shared" si="2"/>
        <v>101.85185185185186</v>
      </c>
    </row>
    <row r="50" spans="1:10" s="130" customFormat="1" ht="15" x14ac:dyDescent="0.2">
      <c r="A50" s="131" t="s">
        <v>292</v>
      </c>
      <c r="B50" s="129"/>
      <c r="C50" s="126">
        <v>311</v>
      </c>
      <c r="D50" s="127" t="s">
        <v>183</v>
      </c>
      <c r="E50" s="128">
        <f>SUM(E51)</f>
        <v>500000</v>
      </c>
      <c r="F50" s="269">
        <f>SUM(F51)</f>
        <v>420000</v>
      </c>
      <c r="G50" s="269"/>
      <c r="H50" s="269"/>
      <c r="I50" s="310">
        <f t="shared" si="2"/>
        <v>0</v>
      </c>
      <c r="J50" s="310"/>
    </row>
    <row r="51" spans="1:10" s="112" customFormat="1" ht="14.25" hidden="1" x14ac:dyDescent="0.2">
      <c r="A51" s="131" t="s">
        <v>292</v>
      </c>
      <c r="B51" s="129">
        <v>9</v>
      </c>
      <c r="C51" s="132">
        <v>3111</v>
      </c>
      <c r="D51" s="133" t="s">
        <v>184</v>
      </c>
      <c r="E51" s="134">
        <v>500000</v>
      </c>
      <c r="F51" s="270">
        <v>420000</v>
      </c>
      <c r="G51" s="270"/>
      <c r="H51" s="270"/>
      <c r="I51" s="310">
        <f t="shared" si="2"/>
        <v>0</v>
      </c>
      <c r="J51" s="310"/>
    </row>
    <row r="52" spans="1:10" s="130" customFormat="1" ht="15" x14ac:dyDescent="0.2">
      <c r="A52" s="131" t="s">
        <v>292</v>
      </c>
      <c r="B52" s="125"/>
      <c r="C52" s="126">
        <v>312</v>
      </c>
      <c r="D52" s="127" t="s">
        <v>43</v>
      </c>
      <c r="E52" s="128">
        <f>SUM(E53)</f>
        <v>25000</v>
      </c>
      <c r="F52" s="269">
        <f>SUM(F53)</f>
        <v>25000</v>
      </c>
      <c r="G52" s="269"/>
      <c r="H52" s="269"/>
      <c r="I52" s="310">
        <f t="shared" si="2"/>
        <v>0</v>
      </c>
      <c r="J52" s="310"/>
    </row>
    <row r="53" spans="1:10" s="112" customFormat="1" ht="14.25" hidden="1" x14ac:dyDescent="0.2">
      <c r="A53" s="131" t="s">
        <v>292</v>
      </c>
      <c r="B53" s="129">
        <v>10</v>
      </c>
      <c r="C53" s="132">
        <v>3121</v>
      </c>
      <c r="D53" s="133" t="s">
        <v>43</v>
      </c>
      <c r="E53" s="134">
        <v>25000</v>
      </c>
      <c r="F53" s="270">
        <v>25000</v>
      </c>
      <c r="G53" s="270"/>
      <c r="H53" s="270"/>
      <c r="I53" s="310">
        <f t="shared" si="2"/>
        <v>0</v>
      </c>
      <c r="J53" s="310"/>
    </row>
    <row r="54" spans="1:10" s="112" customFormat="1" ht="14.25" x14ac:dyDescent="0.2">
      <c r="A54" s="131" t="s">
        <v>292</v>
      </c>
      <c r="B54" s="125"/>
      <c r="C54" s="126">
        <v>313</v>
      </c>
      <c r="D54" s="127" t="s">
        <v>44</v>
      </c>
      <c r="E54" s="128">
        <f>SUM(E55:E56)</f>
        <v>88000</v>
      </c>
      <c r="F54" s="269">
        <f>SUM(F55:F56)</f>
        <v>88000</v>
      </c>
      <c r="G54" s="269"/>
      <c r="H54" s="269"/>
      <c r="I54" s="310">
        <f t="shared" si="2"/>
        <v>0</v>
      </c>
      <c r="J54" s="310"/>
    </row>
    <row r="55" spans="1:10" s="112" customFormat="1" ht="14.25" hidden="1" x14ac:dyDescent="0.2">
      <c r="A55" s="131" t="s">
        <v>292</v>
      </c>
      <c r="B55" s="129">
        <v>11</v>
      </c>
      <c r="C55" s="132">
        <v>3132</v>
      </c>
      <c r="D55" s="133" t="s">
        <v>185</v>
      </c>
      <c r="E55" s="134">
        <v>75000</v>
      </c>
      <c r="F55" s="270">
        <v>75000</v>
      </c>
      <c r="G55" s="270"/>
      <c r="H55" s="270"/>
      <c r="I55" s="310">
        <f t="shared" si="2"/>
        <v>0</v>
      </c>
      <c r="J55" s="310"/>
    </row>
    <row r="56" spans="1:10" s="112" customFormat="1" ht="14.25" hidden="1" x14ac:dyDescent="0.2">
      <c r="A56" s="131" t="s">
        <v>292</v>
      </c>
      <c r="B56" s="129">
        <v>12</v>
      </c>
      <c r="C56" s="132">
        <v>3133</v>
      </c>
      <c r="D56" s="133" t="s">
        <v>186</v>
      </c>
      <c r="E56" s="134">
        <v>13000</v>
      </c>
      <c r="F56" s="270">
        <v>13000</v>
      </c>
      <c r="G56" s="270"/>
      <c r="H56" s="270"/>
      <c r="I56" s="310">
        <f t="shared" si="2"/>
        <v>0</v>
      </c>
      <c r="J56" s="310"/>
    </row>
    <row r="57" spans="1:10" s="112" customFormat="1" ht="14.25" x14ac:dyDescent="0.2">
      <c r="A57" s="131" t="s">
        <v>292</v>
      </c>
      <c r="B57" s="125"/>
      <c r="C57" s="126">
        <v>32</v>
      </c>
      <c r="D57" s="127" t="s">
        <v>47</v>
      </c>
      <c r="E57" s="128">
        <f>SUM(E58)</f>
        <v>81000</v>
      </c>
      <c r="F57" s="269">
        <f>SUM(F58)</f>
        <v>81000</v>
      </c>
      <c r="G57" s="269">
        <v>80000</v>
      </c>
      <c r="H57" s="269">
        <v>75000</v>
      </c>
      <c r="I57" s="310">
        <f t="shared" si="2"/>
        <v>98.76543209876543</v>
      </c>
      <c r="J57" s="310">
        <f t="shared" si="2"/>
        <v>93.75</v>
      </c>
    </row>
    <row r="58" spans="1:10" s="112" customFormat="1" ht="14.25" x14ac:dyDescent="0.2">
      <c r="A58" s="131" t="s">
        <v>292</v>
      </c>
      <c r="B58" s="125"/>
      <c r="C58" s="126">
        <v>321</v>
      </c>
      <c r="D58" s="127" t="s">
        <v>48</v>
      </c>
      <c r="E58" s="128">
        <f>SUM(E59:E62)</f>
        <v>81000</v>
      </c>
      <c r="F58" s="269">
        <f>SUM(F59:F62)</f>
        <v>81000</v>
      </c>
      <c r="G58" s="269"/>
      <c r="H58" s="269"/>
      <c r="I58" s="310">
        <f t="shared" si="2"/>
        <v>0</v>
      </c>
      <c r="J58" s="310"/>
    </row>
    <row r="59" spans="1:10" s="135" customFormat="1" ht="15" hidden="1" x14ac:dyDescent="0.2">
      <c r="A59" s="131" t="s">
        <v>292</v>
      </c>
      <c r="B59" s="129">
        <v>13</v>
      </c>
      <c r="C59" s="132">
        <v>3211</v>
      </c>
      <c r="D59" s="133" t="s">
        <v>49</v>
      </c>
      <c r="E59" s="134">
        <v>30000</v>
      </c>
      <c r="F59" s="270">
        <v>30000</v>
      </c>
      <c r="G59" s="270"/>
      <c r="H59" s="270"/>
      <c r="I59" s="310">
        <f t="shared" si="2"/>
        <v>0</v>
      </c>
      <c r="J59" s="310"/>
    </row>
    <row r="60" spans="1:10" s="130" customFormat="1" ht="15" hidden="1" x14ac:dyDescent="0.2">
      <c r="A60" s="131" t="s">
        <v>292</v>
      </c>
      <c r="B60" s="129">
        <v>14</v>
      </c>
      <c r="C60" s="132">
        <v>3212</v>
      </c>
      <c r="D60" s="133" t="s">
        <v>50</v>
      </c>
      <c r="E60" s="134">
        <v>26000</v>
      </c>
      <c r="F60" s="270">
        <v>26000</v>
      </c>
      <c r="G60" s="270"/>
      <c r="H60" s="270"/>
      <c r="I60" s="310">
        <f t="shared" si="2"/>
        <v>0</v>
      </c>
      <c r="J60" s="310"/>
    </row>
    <row r="61" spans="1:10" s="112" customFormat="1" ht="14.25" hidden="1" x14ac:dyDescent="0.2">
      <c r="A61" s="131" t="s">
        <v>292</v>
      </c>
      <c r="B61" s="129">
        <v>15</v>
      </c>
      <c r="C61" s="132">
        <v>3213</v>
      </c>
      <c r="D61" s="133" t="s">
        <v>51</v>
      </c>
      <c r="E61" s="134">
        <v>10000</v>
      </c>
      <c r="F61" s="270">
        <v>10000</v>
      </c>
      <c r="G61" s="270"/>
      <c r="H61" s="270"/>
      <c r="I61" s="310">
        <f t="shared" si="2"/>
        <v>0</v>
      </c>
      <c r="J61" s="310"/>
    </row>
    <row r="62" spans="1:10" s="112" customFormat="1" ht="14.25" hidden="1" x14ac:dyDescent="0.2">
      <c r="A62" s="131" t="s">
        <v>292</v>
      </c>
      <c r="B62" s="129">
        <v>16</v>
      </c>
      <c r="C62" s="132">
        <v>3214</v>
      </c>
      <c r="D62" s="133" t="s">
        <v>187</v>
      </c>
      <c r="E62" s="134">
        <v>15000</v>
      </c>
      <c r="F62" s="270">
        <v>15000</v>
      </c>
      <c r="G62" s="270"/>
      <c r="H62" s="270"/>
      <c r="I62" s="310">
        <f t="shared" si="2"/>
        <v>0</v>
      </c>
      <c r="J62" s="310"/>
    </row>
    <row r="63" spans="1:10" s="112" customFormat="1" ht="14.25" x14ac:dyDescent="0.2">
      <c r="A63" s="136"/>
      <c r="B63" s="2"/>
      <c r="C63" s="137"/>
      <c r="D63" s="138"/>
      <c r="E63" s="139"/>
      <c r="F63" s="278"/>
      <c r="G63" s="278"/>
      <c r="H63" s="278"/>
      <c r="I63" s="227"/>
      <c r="J63" s="227"/>
    </row>
    <row r="64" spans="1:10" s="112" customFormat="1" ht="15" x14ac:dyDescent="0.25">
      <c r="A64" s="140"/>
      <c r="B64" s="140"/>
      <c r="C64" s="140"/>
      <c r="D64" s="141" t="s">
        <v>178</v>
      </c>
      <c r="E64" s="119"/>
      <c r="F64" s="275"/>
      <c r="G64" s="275"/>
      <c r="H64" s="304"/>
      <c r="I64" s="233"/>
      <c r="J64" s="233"/>
    </row>
    <row r="65" spans="1:10" s="1" customFormat="1" ht="15" x14ac:dyDescent="0.25">
      <c r="A65" s="140"/>
      <c r="B65" s="140"/>
      <c r="C65" s="140"/>
      <c r="D65" s="222" t="s">
        <v>188</v>
      </c>
      <c r="E65" s="121"/>
      <c r="F65" s="276"/>
      <c r="G65" s="276"/>
      <c r="H65" s="305"/>
      <c r="I65" s="234"/>
      <c r="J65" s="234"/>
    </row>
    <row r="66" spans="1:10" s="1" customFormat="1" ht="15" x14ac:dyDescent="0.25">
      <c r="A66" s="142"/>
      <c r="B66" s="142"/>
      <c r="C66" s="142"/>
      <c r="D66" s="246" t="s">
        <v>290</v>
      </c>
      <c r="E66" s="124">
        <f>SUM(E67+E91)</f>
        <v>1335000</v>
      </c>
      <c r="F66" s="279">
        <f>SUM(F67+F91)</f>
        <v>554000</v>
      </c>
      <c r="G66" s="279">
        <f>SUM(G67+G91)</f>
        <v>545000</v>
      </c>
      <c r="H66" s="279">
        <f>SUM(H67+H91)</f>
        <v>515000</v>
      </c>
      <c r="I66" s="311">
        <f>AVERAGE(G66/F66*100)</f>
        <v>98.375451263537911</v>
      </c>
      <c r="J66" s="311">
        <f>AVERAGE(H66/G66*100)</f>
        <v>94.495412844036693</v>
      </c>
    </row>
    <row r="67" spans="1:10" s="1" customFormat="1" x14ac:dyDescent="0.2">
      <c r="A67" s="131" t="s">
        <v>306</v>
      </c>
      <c r="B67" s="125"/>
      <c r="C67" s="126">
        <v>32</v>
      </c>
      <c r="D67" s="127" t="s">
        <v>47</v>
      </c>
      <c r="E67" s="128">
        <f>SUM(E68+E73+E82+E84)</f>
        <v>1314000</v>
      </c>
      <c r="F67" s="269">
        <f>SUM(F68+F73+F82+F84)</f>
        <v>541000</v>
      </c>
      <c r="G67" s="269">
        <v>530000</v>
      </c>
      <c r="H67" s="269">
        <v>500000</v>
      </c>
      <c r="I67" s="310">
        <f>AVERAGE(G67/F67*100)</f>
        <v>97.966728280961178</v>
      </c>
      <c r="J67" s="310">
        <f>AVERAGE(H67/G67*100)</f>
        <v>94.339622641509436</v>
      </c>
    </row>
    <row r="68" spans="1:10" s="130" customFormat="1" ht="15" x14ac:dyDescent="0.2">
      <c r="A68" s="131" t="s">
        <v>306</v>
      </c>
      <c r="B68" s="125"/>
      <c r="C68" s="126">
        <v>322</v>
      </c>
      <c r="D68" s="127" t="s">
        <v>52</v>
      </c>
      <c r="E68" s="128">
        <f>SUM(E69:E72)</f>
        <v>293000</v>
      </c>
      <c r="F68" s="269">
        <f>SUM(F69:F72)</f>
        <v>225000</v>
      </c>
      <c r="G68" s="269"/>
      <c r="H68" s="269"/>
      <c r="I68" s="310">
        <f t="shared" ref="I68:I91" si="3">AVERAGE(G68/F68*100)</f>
        <v>0</v>
      </c>
      <c r="J68" s="310"/>
    </row>
    <row r="69" spans="1:10" s="130" customFormat="1" ht="15" hidden="1" x14ac:dyDescent="0.2">
      <c r="A69" s="131" t="s">
        <v>306</v>
      </c>
      <c r="B69" s="129">
        <v>17</v>
      </c>
      <c r="C69" s="132">
        <v>3221</v>
      </c>
      <c r="D69" s="133" t="s">
        <v>53</v>
      </c>
      <c r="E69" s="134">
        <v>15000</v>
      </c>
      <c r="F69" s="270">
        <v>15000</v>
      </c>
      <c r="G69" s="270"/>
      <c r="H69" s="270"/>
      <c r="I69" s="310">
        <f t="shared" si="3"/>
        <v>0</v>
      </c>
      <c r="J69" s="310"/>
    </row>
    <row r="70" spans="1:10" s="112" customFormat="1" ht="14.25" hidden="1" x14ac:dyDescent="0.2">
      <c r="A70" s="131" t="s">
        <v>306</v>
      </c>
      <c r="B70" s="129">
        <v>18</v>
      </c>
      <c r="C70" s="132">
        <v>3223</v>
      </c>
      <c r="D70" s="133" t="s">
        <v>54</v>
      </c>
      <c r="E70" s="134">
        <v>250000</v>
      </c>
      <c r="F70" s="270">
        <v>200000</v>
      </c>
      <c r="G70" s="270"/>
      <c r="H70" s="270"/>
      <c r="I70" s="310">
        <f t="shared" si="3"/>
        <v>0</v>
      </c>
      <c r="J70" s="310"/>
    </row>
    <row r="71" spans="1:10" s="112" customFormat="1" ht="14.25" hidden="1" x14ac:dyDescent="0.2">
      <c r="A71" s="131" t="s">
        <v>306</v>
      </c>
      <c r="B71" s="129">
        <v>19</v>
      </c>
      <c r="C71" s="132">
        <v>3224</v>
      </c>
      <c r="D71" s="133" t="s">
        <v>189</v>
      </c>
      <c r="E71" s="134">
        <v>20000</v>
      </c>
      <c r="F71" s="270">
        <v>5000</v>
      </c>
      <c r="G71" s="270"/>
      <c r="H71" s="270"/>
      <c r="I71" s="310">
        <f t="shared" si="3"/>
        <v>0</v>
      </c>
      <c r="J71" s="310"/>
    </row>
    <row r="72" spans="1:10" s="112" customFormat="1" ht="14.25" hidden="1" x14ac:dyDescent="0.2">
      <c r="A72" s="131" t="s">
        <v>306</v>
      </c>
      <c r="B72" s="129">
        <v>20</v>
      </c>
      <c r="C72" s="132">
        <v>3225</v>
      </c>
      <c r="D72" s="133" t="s">
        <v>190</v>
      </c>
      <c r="E72" s="134">
        <v>8000</v>
      </c>
      <c r="F72" s="270">
        <v>5000</v>
      </c>
      <c r="G72" s="270"/>
      <c r="H72" s="270"/>
      <c r="I72" s="310">
        <f t="shared" si="3"/>
        <v>0</v>
      </c>
      <c r="J72" s="310"/>
    </row>
    <row r="73" spans="1:10" s="112" customFormat="1" ht="14.25" x14ac:dyDescent="0.2">
      <c r="A73" s="131" t="s">
        <v>306</v>
      </c>
      <c r="B73" s="101"/>
      <c r="C73" s="143">
        <v>323</v>
      </c>
      <c r="D73" s="144" t="s">
        <v>56</v>
      </c>
      <c r="E73" s="128">
        <f>SUM(E74:E81)</f>
        <v>896000</v>
      </c>
      <c r="F73" s="269">
        <f>SUM(F74:F81)</f>
        <v>225000</v>
      </c>
      <c r="G73" s="269"/>
      <c r="H73" s="269"/>
      <c r="I73" s="310">
        <f t="shared" si="3"/>
        <v>0</v>
      </c>
      <c r="J73" s="310"/>
    </row>
    <row r="74" spans="1:10" s="1" customFormat="1" hidden="1" x14ac:dyDescent="0.2">
      <c r="A74" s="131" t="s">
        <v>306</v>
      </c>
      <c r="B74" s="105">
        <v>21</v>
      </c>
      <c r="C74" s="145">
        <v>3231</v>
      </c>
      <c r="D74" s="146" t="s">
        <v>57</v>
      </c>
      <c r="E74" s="107">
        <v>35000</v>
      </c>
      <c r="F74" s="271">
        <v>30000</v>
      </c>
      <c r="G74" s="271"/>
      <c r="H74" s="271"/>
      <c r="I74" s="310">
        <f t="shared" si="3"/>
        <v>0</v>
      </c>
      <c r="J74" s="310"/>
    </row>
    <row r="75" spans="1:10" s="1" customFormat="1" hidden="1" x14ac:dyDescent="0.2">
      <c r="A75" s="131" t="s">
        <v>306</v>
      </c>
      <c r="B75" s="105">
        <v>22</v>
      </c>
      <c r="C75" s="145">
        <v>3232</v>
      </c>
      <c r="D75" s="146" t="s">
        <v>191</v>
      </c>
      <c r="E75" s="107">
        <v>500000</v>
      </c>
      <c r="F75" s="271">
        <v>5000</v>
      </c>
      <c r="G75" s="271"/>
      <c r="H75" s="271"/>
      <c r="I75" s="310">
        <f t="shared" si="3"/>
        <v>0</v>
      </c>
      <c r="J75" s="310"/>
    </row>
    <row r="76" spans="1:10" s="130" customFormat="1" ht="15" hidden="1" x14ac:dyDescent="0.2">
      <c r="A76" s="131" t="s">
        <v>306</v>
      </c>
      <c r="B76" s="105">
        <v>23</v>
      </c>
      <c r="C76" s="145">
        <v>3233</v>
      </c>
      <c r="D76" s="105" t="s">
        <v>59</v>
      </c>
      <c r="E76" s="107">
        <v>30000</v>
      </c>
      <c r="F76" s="271">
        <v>10000</v>
      </c>
      <c r="G76" s="271"/>
      <c r="H76" s="271"/>
      <c r="I76" s="310">
        <f t="shared" si="3"/>
        <v>0</v>
      </c>
      <c r="J76" s="310"/>
    </row>
    <row r="77" spans="1:10" s="130" customFormat="1" ht="15" hidden="1" x14ac:dyDescent="0.2">
      <c r="A77" s="131" t="s">
        <v>306</v>
      </c>
      <c r="B77" s="105">
        <v>24</v>
      </c>
      <c r="C77" s="145">
        <v>3234</v>
      </c>
      <c r="D77" s="105" t="s">
        <v>60</v>
      </c>
      <c r="E77" s="107">
        <v>120000</v>
      </c>
      <c r="F77" s="271">
        <v>35000</v>
      </c>
      <c r="G77" s="271"/>
      <c r="H77" s="271"/>
      <c r="I77" s="310">
        <f t="shared" si="3"/>
        <v>0</v>
      </c>
      <c r="J77" s="310"/>
    </row>
    <row r="78" spans="1:10" s="112" customFormat="1" ht="25.5" hidden="1" x14ac:dyDescent="0.2">
      <c r="A78" s="131" t="s">
        <v>306</v>
      </c>
      <c r="B78" s="105">
        <v>25</v>
      </c>
      <c r="C78" s="145">
        <v>3236</v>
      </c>
      <c r="D78" s="146" t="s">
        <v>192</v>
      </c>
      <c r="E78" s="107">
        <v>1000</v>
      </c>
      <c r="F78" s="271">
        <v>5000</v>
      </c>
      <c r="G78" s="271"/>
      <c r="H78" s="271"/>
      <c r="I78" s="310">
        <f t="shared" si="3"/>
        <v>0</v>
      </c>
      <c r="J78" s="310"/>
    </row>
    <row r="79" spans="1:10" s="75" customFormat="1" hidden="1" x14ac:dyDescent="0.2">
      <c r="A79" s="131" t="s">
        <v>306</v>
      </c>
      <c r="B79" s="105">
        <v>26</v>
      </c>
      <c r="C79" s="145">
        <v>3237</v>
      </c>
      <c r="D79" s="146" t="s">
        <v>62</v>
      </c>
      <c r="E79" s="107">
        <v>180000</v>
      </c>
      <c r="F79" s="271">
        <v>130000</v>
      </c>
      <c r="G79" s="271"/>
      <c r="H79" s="271"/>
      <c r="I79" s="310">
        <f t="shared" si="3"/>
        <v>0</v>
      </c>
      <c r="J79" s="310"/>
    </row>
    <row r="80" spans="1:10" s="75" customFormat="1" hidden="1" x14ac:dyDescent="0.2">
      <c r="A80" s="131" t="s">
        <v>306</v>
      </c>
      <c r="B80" s="105">
        <v>27</v>
      </c>
      <c r="C80" s="145">
        <v>3238</v>
      </c>
      <c r="D80" s="146" t="s">
        <v>63</v>
      </c>
      <c r="E80" s="107">
        <v>5000</v>
      </c>
      <c r="F80" s="271">
        <v>5000</v>
      </c>
      <c r="G80" s="271"/>
      <c r="H80" s="271"/>
      <c r="I80" s="310">
        <f t="shared" si="3"/>
        <v>0</v>
      </c>
      <c r="J80" s="310"/>
    </row>
    <row r="81" spans="1:10" s="75" customFormat="1" hidden="1" x14ac:dyDescent="0.2">
      <c r="A81" s="131" t="s">
        <v>306</v>
      </c>
      <c r="B81" s="105">
        <v>28</v>
      </c>
      <c r="C81" s="145">
        <v>3239</v>
      </c>
      <c r="D81" s="146" t="s">
        <v>64</v>
      </c>
      <c r="E81" s="107">
        <v>25000</v>
      </c>
      <c r="F81" s="271">
        <v>5000</v>
      </c>
      <c r="G81" s="271"/>
      <c r="H81" s="271"/>
      <c r="I81" s="310">
        <f t="shared" si="3"/>
        <v>0</v>
      </c>
      <c r="J81" s="310"/>
    </row>
    <row r="82" spans="1:10" s="130" customFormat="1" ht="15" x14ac:dyDescent="0.2">
      <c r="A82" s="131" t="s">
        <v>306</v>
      </c>
      <c r="B82" s="101"/>
      <c r="C82" s="143">
        <v>324</v>
      </c>
      <c r="D82" s="144" t="s">
        <v>142</v>
      </c>
      <c r="E82" s="128">
        <f>SUM(E83)</f>
        <v>1000</v>
      </c>
      <c r="F82" s="269">
        <f>SUM(F83)</f>
        <v>6000</v>
      </c>
      <c r="G82" s="269"/>
      <c r="H82" s="269"/>
      <c r="I82" s="310">
        <f t="shared" si="3"/>
        <v>0</v>
      </c>
      <c r="J82" s="310"/>
    </row>
    <row r="83" spans="1:10" s="130" customFormat="1" ht="15" hidden="1" x14ac:dyDescent="0.2">
      <c r="A83" s="131" t="s">
        <v>306</v>
      </c>
      <c r="B83" s="105">
        <v>29</v>
      </c>
      <c r="C83" s="145">
        <v>3241</v>
      </c>
      <c r="D83" s="146" t="s">
        <v>142</v>
      </c>
      <c r="E83" s="107">
        <v>1000</v>
      </c>
      <c r="F83" s="271">
        <v>6000</v>
      </c>
      <c r="G83" s="271"/>
      <c r="H83" s="271"/>
      <c r="I83" s="310">
        <f t="shared" si="3"/>
        <v>0</v>
      </c>
      <c r="J83" s="310"/>
    </row>
    <row r="84" spans="1:10" s="112" customFormat="1" ht="14.25" x14ac:dyDescent="0.2">
      <c r="A84" s="131" t="s">
        <v>306</v>
      </c>
      <c r="B84" s="101"/>
      <c r="C84" s="143">
        <v>329</v>
      </c>
      <c r="D84" s="144" t="s">
        <v>65</v>
      </c>
      <c r="E84" s="103">
        <f>SUM(E85:E90)</f>
        <v>124000</v>
      </c>
      <c r="F84" s="268">
        <f>SUM(F85:F90)</f>
        <v>85000</v>
      </c>
      <c r="G84" s="268"/>
      <c r="H84" s="268"/>
      <c r="I84" s="310">
        <f t="shared" si="3"/>
        <v>0</v>
      </c>
      <c r="J84" s="310"/>
    </row>
    <row r="85" spans="1:10" s="1" customFormat="1" hidden="1" x14ac:dyDescent="0.2">
      <c r="A85" s="131" t="s">
        <v>306</v>
      </c>
      <c r="B85" s="105">
        <v>30</v>
      </c>
      <c r="C85" s="145">
        <v>3292</v>
      </c>
      <c r="D85" s="146" t="s">
        <v>67</v>
      </c>
      <c r="E85" s="107">
        <v>12000</v>
      </c>
      <c r="F85" s="271">
        <v>17000</v>
      </c>
      <c r="G85" s="271"/>
      <c r="H85" s="271"/>
      <c r="I85" s="310">
        <f t="shared" si="3"/>
        <v>0</v>
      </c>
      <c r="J85" s="310"/>
    </row>
    <row r="86" spans="1:10" s="1" customFormat="1" hidden="1" x14ac:dyDescent="0.2">
      <c r="A86" s="131" t="s">
        <v>306</v>
      </c>
      <c r="B86" s="105">
        <v>31</v>
      </c>
      <c r="C86" s="145">
        <v>3293</v>
      </c>
      <c r="D86" s="146" t="s">
        <v>68</v>
      </c>
      <c r="E86" s="107">
        <v>80000</v>
      </c>
      <c r="F86" s="271">
        <v>50000</v>
      </c>
      <c r="G86" s="271"/>
      <c r="H86" s="271"/>
      <c r="I86" s="310">
        <f t="shared" si="3"/>
        <v>0</v>
      </c>
      <c r="J86" s="310"/>
    </row>
    <row r="87" spans="1:10" s="1" customFormat="1" hidden="1" x14ac:dyDescent="0.2">
      <c r="A87" s="131" t="s">
        <v>306</v>
      </c>
      <c r="B87" s="105">
        <v>32</v>
      </c>
      <c r="C87" s="145">
        <v>3294</v>
      </c>
      <c r="D87" s="146" t="s">
        <v>69</v>
      </c>
      <c r="E87" s="107">
        <v>4000</v>
      </c>
      <c r="F87" s="271">
        <v>5000</v>
      </c>
      <c r="G87" s="271"/>
      <c r="H87" s="271"/>
      <c r="I87" s="310">
        <f t="shared" si="3"/>
        <v>0</v>
      </c>
      <c r="J87" s="310"/>
    </row>
    <row r="88" spans="1:10" s="130" customFormat="1" ht="15" hidden="1" x14ac:dyDescent="0.2">
      <c r="A88" s="131" t="s">
        <v>306</v>
      </c>
      <c r="B88" s="105">
        <v>33</v>
      </c>
      <c r="C88" s="145">
        <v>3295</v>
      </c>
      <c r="D88" s="146" t="s">
        <v>193</v>
      </c>
      <c r="E88" s="107">
        <v>4000</v>
      </c>
      <c r="F88" s="271">
        <v>4000</v>
      </c>
      <c r="G88" s="271"/>
      <c r="H88" s="271"/>
      <c r="I88" s="310">
        <f t="shared" si="3"/>
        <v>0</v>
      </c>
      <c r="J88" s="310"/>
    </row>
    <row r="89" spans="1:10" s="130" customFormat="1" ht="15" hidden="1" x14ac:dyDescent="0.2">
      <c r="A89" s="131" t="s">
        <v>306</v>
      </c>
      <c r="B89" s="105">
        <v>34</v>
      </c>
      <c r="C89" s="145">
        <v>3296</v>
      </c>
      <c r="D89" s="146" t="s">
        <v>194</v>
      </c>
      <c r="E89" s="107">
        <v>0</v>
      </c>
      <c r="F89" s="271">
        <v>1000</v>
      </c>
      <c r="G89" s="271"/>
      <c r="H89" s="271"/>
      <c r="I89" s="310">
        <f t="shared" si="3"/>
        <v>0</v>
      </c>
      <c r="J89" s="310"/>
    </row>
    <row r="90" spans="1:10" s="130" customFormat="1" ht="15" hidden="1" x14ac:dyDescent="0.2">
      <c r="A90" s="131" t="s">
        <v>306</v>
      </c>
      <c r="B90" s="105">
        <v>35</v>
      </c>
      <c r="C90" s="145">
        <v>3299</v>
      </c>
      <c r="D90" s="146" t="s">
        <v>65</v>
      </c>
      <c r="E90" s="107">
        <v>24000</v>
      </c>
      <c r="F90" s="271">
        <v>8000</v>
      </c>
      <c r="G90" s="271"/>
      <c r="H90" s="271"/>
      <c r="I90" s="310">
        <f t="shared" si="3"/>
        <v>0</v>
      </c>
      <c r="J90" s="310"/>
    </row>
    <row r="91" spans="1:10" s="112" customFormat="1" ht="14.25" x14ac:dyDescent="0.2">
      <c r="A91" s="131" t="s">
        <v>306</v>
      </c>
      <c r="B91" s="147"/>
      <c r="C91" s="148">
        <v>34</v>
      </c>
      <c r="D91" s="149" t="s">
        <v>70</v>
      </c>
      <c r="E91" s="150">
        <f>SUM(E92+E94)</f>
        <v>21000</v>
      </c>
      <c r="F91" s="280">
        <f>SUM(F94)</f>
        <v>13000</v>
      </c>
      <c r="G91" s="280">
        <v>15000</v>
      </c>
      <c r="H91" s="280">
        <v>15000</v>
      </c>
      <c r="I91" s="310">
        <f t="shared" si="3"/>
        <v>115.38461538461537</v>
      </c>
      <c r="J91" s="310">
        <f>AVERAGE(H91/G91*100)</f>
        <v>100</v>
      </c>
    </row>
    <row r="92" spans="1:10" s="130" customFormat="1" ht="15" x14ac:dyDescent="0.2">
      <c r="A92" s="131" t="s">
        <v>306</v>
      </c>
      <c r="B92" s="101"/>
      <c r="C92" s="143">
        <v>342</v>
      </c>
      <c r="D92" s="144" t="s">
        <v>266</v>
      </c>
      <c r="E92" s="128">
        <f>SUM(E93)</f>
        <v>5000</v>
      </c>
      <c r="F92" s="269">
        <f>SUM(F93)</f>
        <v>0</v>
      </c>
      <c r="G92" s="269"/>
      <c r="H92" s="269"/>
      <c r="I92" s="310">
        <v>0</v>
      </c>
      <c r="J92" s="310"/>
    </row>
    <row r="93" spans="1:10" s="130" customFormat="1" ht="15" hidden="1" x14ac:dyDescent="0.2">
      <c r="A93" s="131" t="s">
        <v>306</v>
      </c>
      <c r="B93" s="105">
        <v>36</v>
      </c>
      <c r="C93" s="145">
        <v>3423</v>
      </c>
      <c r="D93" s="146" t="s">
        <v>266</v>
      </c>
      <c r="E93" s="107">
        <v>5000</v>
      </c>
      <c r="F93" s="271">
        <v>0</v>
      </c>
      <c r="G93" s="271"/>
      <c r="H93" s="271"/>
      <c r="I93" s="310">
        <v>0</v>
      </c>
      <c r="J93" s="310"/>
    </row>
    <row r="94" spans="1:10" s="112" customFormat="1" ht="14.25" x14ac:dyDescent="0.2">
      <c r="A94" s="131" t="s">
        <v>306</v>
      </c>
      <c r="B94" s="101"/>
      <c r="C94" s="143">
        <v>343</v>
      </c>
      <c r="D94" s="144" t="s">
        <v>71</v>
      </c>
      <c r="E94" s="103">
        <f>SUM(E95:E97)</f>
        <v>16000</v>
      </c>
      <c r="F94" s="268">
        <f>SUM(F95:F97)</f>
        <v>13000</v>
      </c>
      <c r="G94" s="268"/>
      <c r="H94" s="268"/>
      <c r="I94" s="310">
        <f>AVERAGE(G94/F94*100)</f>
        <v>0</v>
      </c>
      <c r="J94" s="310"/>
    </row>
    <row r="95" spans="1:10" s="112" customFormat="1" ht="14.25" hidden="1" x14ac:dyDescent="0.2">
      <c r="A95" s="131" t="s">
        <v>306</v>
      </c>
      <c r="B95" s="105">
        <v>37</v>
      </c>
      <c r="C95" s="145">
        <v>3431</v>
      </c>
      <c r="D95" s="146" t="s">
        <v>72</v>
      </c>
      <c r="E95" s="107">
        <v>11000</v>
      </c>
      <c r="F95" s="271">
        <v>10000</v>
      </c>
      <c r="G95" s="271"/>
      <c r="H95" s="271"/>
      <c r="I95" s="310">
        <f>AVERAGE(G95/F95*100)</f>
        <v>0</v>
      </c>
      <c r="J95" s="310"/>
    </row>
    <row r="96" spans="1:10" s="112" customFormat="1" ht="14.25" hidden="1" x14ac:dyDescent="0.2">
      <c r="A96" s="131" t="s">
        <v>306</v>
      </c>
      <c r="B96" s="105">
        <v>38</v>
      </c>
      <c r="C96" s="145">
        <v>3433</v>
      </c>
      <c r="D96" s="146" t="s">
        <v>73</v>
      </c>
      <c r="E96" s="107">
        <v>1000</v>
      </c>
      <c r="F96" s="271">
        <v>1000</v>
      </c>
      <c r="G96" s="271"/>
      <c r="H96" s="271"/>
      <c r="I96" s="310">
        <f>AVERAGE(G96/F96*100)</f>
        <v>0</v>
      </c>
      <c r="J96" s="310"/>
    </row>
    <row r="97" spans="1:10" s="112" customFormat="1" ht="14.25" hidden="1" x14ac:dyDescent="0.2">
      <c r="A97" s="131" t="s">
        <v>306</v>
      </c>
      <c r="B97" s="105">
        <v>39</v>
      </c>
      <c r="C97" s="145">
        <v>3434</v>
      </c>
      <c r="D97" s="146" t="s">
        <v>74</v>
      </c>
      <c r="E97" s="107">
        <v>4000</v>
      </c>
      <c r="F97" s="271">
        <v>2000</v>
      </c>
      <c r="G97" s="271"/>
      <c r="H97" s="271"/>
      <c r="I97" s="310">
        <f>AVERAGE(G97/F97*100)</f>
        <v>0</v>
      </c>
      <c r="J97" s="310"/>
    </row>
    <row r="98" spans="1:10" s="154" customFormat="1" ht="16.5" x14ac:dyDescent="0.25">
      <c r="A98" s="151"/>
      <c r="B98" s="109"/>
      <c r="C98" s="152"/>
      <c r="D98" s="153"/>
      <c r="E98" s="111"/>
      <c r="F98" s="273"/>
      <c r="G98" s="273"/>
      <c r="H98" s="273"/>
      <c r="I98" s="232"/>
      <c r="J98" s="232"/>
    </row>
    <row r="99" spans="1:10" s="154" customFormat="1" ht="16.5" x14ac:dyDescent="0.25">
      <c r="A99" s="104"/>
      <c r="B99" s="104"/>
      <c r="C99" s="104"/>
      <c r="D99" s="155" t="s">
        <v>178</v>
      </c>
      <c r="E99" s="119"/>
      <c r="F99" s="275"/>
      <c r="G99" s="275"/>
      <c r="H99" s="304"/>
      <c r="I99" s="233"/>
      <c r="J99" s="233"/>
    </row>
    <row r="100" spans="1:10" s="97" customFormat="1" ht="15.75" x14ac:dyDescent="0.25">
      <c r="A100" s="104"/>
      <c r="B100" s="104"/>
      <c r="C100" s="104"/>
      <c r="D100" s="221" t="s">
        <v>195</v>
      </c>
      <c r="E100" s="121"/>
      <c r="F100" s="276"/>
      <c r="G100" s="276"/>
      <c r="H100" s="305"/>
      <c r="I100" s="234"/>
      <c r="J100" s="234"/>
    </row>
    <row r="101" spans="1:10" s="97" customFormat="1" ht="15.75" x14ac:dyDescent="0.25">
      <c r="A101" s="156"/>
      <c r="B101" s="156"/>
      <c r="C101" s="156"/>
      <c r="D101" s="250" t="s">
        <v>295</v>
      </c>
      <c r="E101" s="157">
        <f t="shared" ref="E101:H102" si="4">SUM(E102)</f>
        <v>72000</v>
      </c>
      <c r="F101" s="281">
        <f t="shared" si="4"/>
        <v>60000</v>
      </c>
      <c r="G101" s="281">
        <f t="shared" si="4"/>
        <v>50000</v>
      </c>
      <c r="H101" s="281">
        <f t="shared" si="4"/>
        <v>45000</v>
      </c>
      <c r="I101" s="311">
        <f>AVERAGE(G101/F101*100)</f>
        <v>83.333333333333343</v>
      </c>
      <c r="J101" s="311">
        <f>AVERAGE(H101/G101*100)</f>
        <v>90</v>
      </c>
    </row>
    <row r="102" spans="1:10" s="1" customFormat="1" x14ac:dyDescent="0.2">
      <c r="A102" s="105" t="s">
        <v>307</v>
      </c>
      <c r="B102" s="101"/>
      <c r="C102" s="143">
        <v>42</v>
      </c>
      <c r="D102" s="144" t="s">
        <v>96</v>
      </c>
      <c r="E102" s="103">
        <f t="shared" si="4"/>
        <v>72000</v>
      </c>
      <c r="F102" s="268">
        <f t="shared" si="4"/>
        <v>60000</v>
      </c>
      <c r="G102" s="268">
        <v>50000</v>
      </c>
      <c r="H102" s="268">
        <v>45000</v>
      </c>
      <c r="I102" s="310">
        <f t="shared" ref="I102:J107" si="5">AVERAGE(G102/F102*100)</f>
        <v>83.333333333333343</v>
      </c>
      <c r="J102" s="310">
        <f t="shared" si="5"/>
        <v>90</v>
      </c>
    </row>
    <row r="103" spans="1:10" s="1" customFormat="1" x14ac:dyDescent="0.2">
      <c r="A103" s="105" t="s">
        <v>307</v>
      </c>
      <c r="B103" s="101"/>
      <c r="C103" s="143">
        <v>422</v>
      </c>
      <c r="D103" s="144" t="s">
        <v>99</v>
      </c>
      <c r="E103" s="103">
        <f>SUM(E104:E107)</f>
        <v>72000</v>
      </c>
      <c r="F103" s="268">
        <f>SUM(F104:F107)</f>
        <v>60000</v>
      </c>
      <c r="G103" s="268"/>
      <c r="H103" s="268"/>
      <c r="I103" s="310">
        <f t="shared" si="5"/>
        <v>0</v>
      </c>
      <c r="J103" s="310"/>
    </row>
    <row r="104" spans="1:10" s="1" customFormat="1" hidden="1" x14ac:dyDescent="0.2">
      <c r="A104" s="105" t="s">
        <v>307</v>
      </c>
      <c r="B104" s="105">
        <v>40</v>
      </c>
      <c r="C104" s="145">
        <v>4221</v>
      </c>
      <c r="D104" s="146" t="s">
        <v>100</v>
      </c>
      <c r="E104" s="107">
        <v>20000</v>
      </c>
      <c r="F104" s="271">
        <v>20000</v>
      </c>
      <c r="G104" s="271"/>
      <c r="H104" s="271"/>
      <c r="I104" s="310">
        <f t="shared" si="5"/>
        <v>0</v>
      </c>
      <c r="J104" s="310"/>
    </row>
    <row r="105" spans="1:10" s="1" customFormat="1" hidden="1" x14ac:dyDescent="0.2">
      <c r="A105" s="105" t="s">
        <v>307</v>
      </c>
      <c r="B105" s="105">
        <v>41</v>
      </c>
      <c r="C105" s="145">
        <v>4222</v>
      </c>
      <c r="D105" s="146" t="s">
        <v>101</v>
      </c>
      <c r="E105" s="107">
        <v>5000</v>
      </c>
      <c r="F105" s="271">
        <v>5000</v>
      </c>
      <c r="G105" s="271"/>
      <c r="H105" s="271"/>
      <c r="I105" s="310">
        <f t="shared" si="5"/>
        <v>0</v>
      </c>
      <c r="J105" s="310"/>
    </row>
    <row r="106" spans="1:10" s="130" customFormat="1" ht="15" hidden="1" x14ac:dyDescent="0.2">
      <c r="A106" s="105" t="s">
        <v>307</v>
      </c>
      <c r="B106" s="105">
        <v>42</v>
      </c>
      <c r="C106" s="145">
        <v>4223</v>
      </c>
      <c r="D106" s="146" t="s">
        <v>112</v>
      </c>
      <c r="E106" s="107">
        <v>12000</v>
      </c>
      <c r="F106" s="271">
        <v>10000</v>
      </c>
      <c r="G106" s="271"/>
      <c r="H106" s="271"/>
      <c r="I106" s="310">
        <f t="shared" si="5"/>
        <v>0</v>
      </c>
      <c r="J106" s="310"/>
    </row>
    <row r="107" spans="1:10" s="112" customFormat="1" ht="14.25" hidden="1" x14ac:dyDescent="0.2">
      <c r="A107" s="105" t="s">
        <v>307</v>
      </c>
      <c r="B107" s="105">
        <v>43</v>
      </c>
      <c r="C107" s="145">
        <v>4227</v>
      </c>
      <c r="D107" s="146" t="s">
        <v>102</v>
      </c>
      <c r="E107" s="107">
        <v>35000</v>
      </c>
      <c r="F107" s="271">
        <v>25000</v>
      </c>
      <c r="G107" s="271"/>
      <c r="H107" s="271"/>
      <c r="I107" s="310">
        <f t="shared" si="5"/>
        <v>0</v>
      </c>
      <c r="J107" s="310"/>
    </row>
    <row r="108" spans="1:10" s="112" customFormat="1" ht="14.25" x14ac:dyDescent="0.2">
      <c r="C108" s="158"/>
      <c r="D108" s="159"/>
      <c r="E108" s="160"/>
      <c r="F108" s="282"/>
      <c r="G108" s="282"/>
      <c r="H108" s="282"/>
      <c r="I108" s="232"/>
      <c r="J108" s="232"/>
    </row>
    <row r="109" spans="1:10" s="112" customFormat="1" ht="15" x14ac:dyDescent="0.25">
      <c r="A109" s="104"/>
      <c r="B109" s="104"/>
      <c r="C109" s="104"/>
      <c r="D109" s="117" t="s">
        <v>178</v>
      </c>
      <c r="E109" s="119"/>
      <c r="F109" s="275"/>
      <c r="G109" s="265"/>
      <c r="H109" s="265"/>
      <c r="I109" s="229"/>
      <c r="J109" s="229"/>
    </row>
    <row r="110" spans="1:10" s="112" customFormat="1" ht="15" x14ac:dyDescent="0.25">
      <c r="A110" s="104"/>
      <c r="B110" s="104"/>
      <c r="C110" s="104"/>
      <c r="D110" s="220" t="s">
        <v>195</v>
      </c>
      <c r="E110" s="121"/>
      <c r="F110" s="276"/>
      <c r="G110" s="266"/>
      <c r="H110" s="266"/>
      <c r="I110" s="230"/>
      <c r="J110" s="230"/>
    </row>
    <row r="111" spans="1:10" s="1" customFormat="1" ht="15" x14ac:dyDescent="0.25">
      <c r="A111" s="156"/>
      <c r="B111" s="156"/>
      <c r="C111" s="156"/>
      <c r="D111" s="251" t="s">
        <v>296</v>
      </c>
      <c r="E111" s="157">
        <f t="shared" ref="E111:H113" si="6">SUM(E112)</f>
        <v>5000</v>
      </c>
      <c r="F111" s="281">
        <f t="shared" si="6"/>
        <v>5000</v>
      </c>
      <c r="G111" s="267">
        <f t="shared" si="6"/>
        <v>5000</v>
      </c>
      <c r="H111" s="267">
        <f t="shared" si="6"/>
        <v>5000</v>
      </c>
      <c r="I111" s="311">
        <f>AVERAGE(G111/F111*100)</f>
        <v>100</v>
      </c>
      <c r="J111" s="311">
        <f>AVERAGE(H111/G111*100)</f>
        <v>100</v>
      </c>
    </row>
    <row r="112" spans="1:10" s="1" customFormat="1" x14ac:dyDescent="0.2">
      <c r="A112" s="214" t="s">
        <v>308</v>
      </c>
      <c r="B112" s="101"/>
      <c r="C112" s="143">
        <v>42</v>
      </c>
      <c r="D112" s="144" t="s">
        <v>96</v>
      </c>
      <c r="E112" s="103">
        <f t="shared" si="6"/>
        <v>5000</v>
      </c>
      <c r="F112" s="268">
        <f t="shared" si="6"/>
        <v>5000</v>
      </c>
      <c r="G112" s="268">
        <v>5000</v>
      </c>
      <c r="H112" s="268">
        <v>5000</v>
      </c>
      <c r="I112" s="310">
        <f t="shared" ref="I112:J114" si="7">AVERAGE(G112/F112*100)</f>
        <v>100</v>
      </c>
      <c r="J112" s="310">
        <f t="shared" si="7"/>
        <v>100</v>
      </c>
    </row>
    <row r="113" spans="1:10" s="1" customFormat="1" x14ac:dyDescent="0.2">
      <c r="A113" s="214" t="s">
        <v>308</v>
      </c>
      <c r="B113" s="101"/>
      <c r="C113" s="143">
        <v>426</v>
      </c>
      <c r="D113" s="144" t="s">
        <v>117</v>
      </c>
      <c r="E113" s="103">
        <f t="shared" si="6"/>
        <v>5000</v>
      </c>
      <c r="F113" s="268">
        <f t="shared" si="6"/>
        <v>5000</v>
      </c>
      <c r="G113" s="268"/>
      <c r="H113" s="268"/>
      <c r="I113" s="310">
        <f t="shared" si="7"/>
        <v>0</v>
      </c>
      <c r="J113" s="310"/>
    </row>
    <row r="114" spans="1:10" s="1" customFormat="1" ht="15" hidden="1" customHeight="1" x14ac:dyDescent="0.2">
      <c r="A114" s="214" t="s">
        <v>308</v>
      </c>
      <c r="B114" s="105">
        <v>44</v>
      </c>
      <c r="C114" s="145">
        <v>4262</v>
      </c>
      <c r="D114" s="146" t="s">
        <v>196</v>
      </c>
      <c r="E114" s="107">
        <v>5000</v>
      </c>
      <c r="F114" s="271">
        <v>5000</v>
      </c>
      <c r="G114" s="271"/>
      <c r="H114" s="271"/>
      <c r="I114" s="310">
        <f t="shared" si="7"/>
        <v>0</v>
      </c>
      <c r="J114" s="310"/>
    </row>
    <row r="115" spans="1:10" s="1" customFormat="1" x14ac:dyDescent="0.2">
      <c r="A115" s="109"/>
      <c r="B115" s="109"/>
      <c r="C115" s="152"/>
      <c r="D115" s="153"/>
      <c r="E115" s="111"/>
      <c r="F115" s="273"/>
      <c r="G115" s="273"/>
      <c r="H115" s="273"/>
      <c r="I115" s="232"/>
      <c r="J115" s="232"/>
    </row>
    <row r="116" spans="1:10" s="163" customFormat="1" ht="15" x14ac:dyDescent="0.2">
      <c r="A116" s="75"/>
      <c r="B116" s="75"/>
      <c r="C116" s="75"/>
      <c r="D116" s="161" t="s">
        <v>178</v>
      </c>
      <c r="E116" s="162"/>
      <c r="F116" s="283"/>
      <c r="G116" s="283"/>
      <c r="H116" s="283"/>
      <c r="I116" s="229"/>
      <c r="J116" s="229"/>
    </row>
    <row r="117" spans="1:10" s="130" customFormat="1" ht="15" x14ac:dyDescent="0.25">
      <c r="A117" s="75"/>
      <c r="B117" s="75"/>
      <c r="C117" s="75"/>
      <c r="D117" s="219" t="s">
        <v>197</v>
      </c>
      <c r="E117" s="98"/>
      <c r="F117" s="266"/>
      <c r="G117" s="266"/>
      <c r="H117" s="266"/>
      <c r="I117" s="230"/>
      <c r="J117" s="230"/>
    </row>
    <row r="118" spans="1:10" s="112" customFormat="1" ht="15" x14ac:dyDescent="0.25">
      <c r="A118" s="165"/>
      <c r="B118" s="165"/>
      <c r="C118" s="165"/>
      <c r="D118" s="247" t="s">
        <v>297</v>
      </c>
      <c r="E118" s="100">
        <f t="shared" ref="E118:H120" si="8">SUM(E119)</f>
        <v>0</v>
      </c>
      <c r="F118" s="267">
        <f t="shared" si="8"/>
        <v>30000</v>
      </c>
      <c r="G118" s="267">
        <f t="shared" si="8"/>
        <v>30000</v>
      </c>
      <c r="H118" s="267">
        <f t="shared" si="8"/>
        <v>30000</v>
      </c>
      <c r="I118" s="311">
        <f>AVERAGE(G118/F118*100)</f>
        <v>100</v>
      </c>
      <c r="J118" s="311">
        <f>AVERAGE(H118/G118*100)</f>
        <v>100</v>
      </c>
    </row>
    <row r="119" spans="1:10" s="130" customFormat="1" ht="15" x14ac:dyDescent="0.2">
      <c r="A119" s="214" t="s">
        <v>309</v>
      </c>
      <c r="B119" s="101"/>
      <c r="C119" s="143">
        <v>32</v>
      </c>
      <c r="D119" s="144" t="s">
        <v>47</v>
      </c>
      <c r="E119" s="103">
        <f t="shared" si="8"/>
        <v>0</v>
      </c>
      <c r="F119" s="268">
        <f t="shared" si="8"/>
        <v>30000</v>
      </c>
      <c r="G119" s="268">
        <v>30000</v>
      </c>
      <c r="H119" s="268">
        <v>30000</v>
      </c>
      <c r="I119" s="310">
        <f t="shared" ref="I119:J121" si="9">AVERAGE(G119/F119*100)</f>
        <v>100</v>
      </c>
      <c r="J119" s="310">
        <f t="shared" si="9"/>
        <v>100</v>
      </c>
    </row>
    <row r="120" spans="1:10" s="112" customFormat="1" ht="14.25" x14ac:dyDescent="0.2">
      <c r="A120" s="214" t="s">
        <v>309</v>
      </c>
      <c r="B120" s="101"/>
      <c r="C120" s="143">
        <v>323</v>
      </c>
      <c r="D120" s="144" t="s">
        <v>56</v>
      </c>
      <c r="E120" s="103">
        <f t="shared" si="8"/>
        <v>0</v>
      </c>
      <c r="F120" s="268">
        <f t="shared" si="8"/>
        <v>30000</v>
      </c>
      <c r="G120" s="268"/>
      <c r="H120" s="268"/>
      <c r="I120" s="310">
        <f t="shared" si="9"/>
        <v>0</v>
      </c>
      <c r="J120" s="310"/>
    </row>
    <row r="121" spans="1:10" s="130" customFormat="1" ht="15" hidden="1" x14ac:dyDescent="0.2">
      <c r="A121" s="214" t="s">
        <v>309</v>
      </c>
      <c r="B121" s="105">
        <v>45</v>
      </c>
      <c r="C121" s="145">
        <v>3237</v>
      </c>
      <c r="D121" s="146" t="s">
        <v>62</v>
      </c>
      <c r="E121" s="107">
        <v>0</v>
      </c>
      <c r="F121" s="271">
        <v>30000</v>
      </c>
      <c r="G121" s="271"/>
      <c r="H121" s="271"/>
      <c r="I121" s="310">
        <f t="shared" si="9"/>
        <v>0</v>
      </c>
      <c r="J121" s="310"/>
    </row>
    <row r="122" spans="1:10" s="130" customFormat="1" ht="15" x14ac:dyDescent="0.2">
      <c r="A122" s="166"/>
      <c r="B122" s="85"/>
      <c r="C122" s="166"/>
      <c r="D122" s="85"/>
      <c r="E122" s="166"/>
      <c r="F122" s="284"/>
      <c r="G122" s="284"/>
      <c r="H122" s="284"/>
      <c r="I122" s="235"/>
      <c r="J122" s="235"/>
    </row>
    <row r="123" spans="1:10" s="112" customFormat="1" ht="15" x14ac:dyDescent="0.25">
      <c r="A123" s="104"/>
      <c r="B123" s="104"/>
      <c r="C123" s="104"/>
      <c r="D123" s="161" t="s">
        <v>178</v>
      </c>
      <c r="E123" s="96"/>
      <c r="F123" s="265"/>
      <c r="G123" s="265"/>
      <c r="H123" s="265"/>
      <c r="I123" s="229"/>
      <c r="J123" s="229"/>
    </row>
    <row r="124" spans="1:10" s="112" customFormat="1" ht="15" x14ac:dyDescent="0.25">
      <c r="A124" s="104"/>
      <c r="B124" s="104"/>
      <c r="C124" s="104"/>
      <c r="D124" s="219" t="s">
        <v>195</v>
      </c>
      <c r="E124" s="98"/>
      <c r="F124" s="266"/>
      <c r="G124" s="266"/>
      <c r="H124" s="266"/>
      <c r="I124" s="230"/>
      <c r="J124" s="230"/>
    </row>
    <row r="125" spans="1:10" ht="15" x14ac:dyDescent="0.25">
      <c r="A125" s="156"/>
      <c r="B125" s="156"/>
      <c r="C125" s="156"/>
      <c r="D125" s="247" t="s">
        <v>298</v>
      </c>
      <c r="E125" s="167">
        <f>SUM(E126+E129)</f>
        <v>10000</v>
      </c>
      <c r="F125" s="260">
        <f>SUM(F126+F129)</f>
        <v>10000</v>
      </c>
      <c r="G125" s="260">
        <f>SUM(G126+G129)</f>
        <v>10000</v>
      </c>
      <c r="H125" s="260">
        <f>SUM(H126+H129)</f>
        <v>10000</v>
      </c>
      <c r="I125" s="311">
        <f>AVERAGE(G125/F125*100)</f>
        <v>100</v>
      </c>
      <c r="J125" s="311">
        <f>AVERAGE(H125/G125*100)</f>
        <v>100</v>
      </c>
    </row>
    <row r="126" spans="1:10" x14ac:dyDescent="0.2">
      <c r="A126" s="214" t="s">
        <v>310</v>
      </c>
      <c r="B126" s="101"/>
      <c r="C126" s="143">
        <v>32</v>
      </c>
      <c r="D126" s="144" t="s">
        <v>47</v>
      </c>
      <c r="E126" s="103">
        <f>SUM(E127)</f>
        <v>0</v>
      </c>
      <c r="F126" s="268">
        <f t="shared" ref="F126:H127" si="10">SUM(F127)</f>
        <v>0</v>
      </c>
      <c r="G126" s="268">
        <f t="shared" si="10"/>
        <v>0</v>
      </c>
      <c r="H126" s="268">
        <f t="shared" si="10"/>
        <v>0</v>
      </c>
      <c r="I126" s="310">
        <v>0</v>
      </c>
      <c r="J126" s="310"/>
    </row>
    <row r="127" spans="1:10" x14ac:dyDescent="0.2">
      <c r="A127" s="214" t="s">
        <v>310</v>
      </c>
      <c r="B127" s="101"/>
      <c r="C127" s="143">
        <v>329</v>
      </c>
      <c r="D127" s="144" t="s">
        <v>65</v>
      </c>
      <c r="E127" s="103">
        <f>SUM(E128)</f>
        <v>0</v>
      </c>
      <c r="F127" s="268">
        <f t="shared" si="10"/>
        <v>0</v>
      </c>
      <c r="G127" s="268"/>
      <c r="H127" s="268"/>
      <c r="I127" s="310">
        <v>0</v>
      </c>
      <c r="J127" s="310"/>
    </row>
    <row r="128" spans="1:10" ht="14.25" hidden="1" customHeight="1" x14ac:dyDescent="0.2">
      <c r="A128" s="214" t="s">
        <v>310</v>
      </c>
      <c r="B128" s="105">
        <v>46</v>
      </c>
      <c r="C128" s="145">
        <v>3299</v>
      </c>
      <c r="D128" s="146" t="s">
        <v>65</v>
      </c>
      <c r="E128" s="107">
        <v>0</v>
      </c>
      <c r="F128" s="271">
        <v>0</v>
      </c>
      <c r="G128" s="271"/>
      <c r="H128" s="271"/>
      <c r="I128" s="310">
        <v>0</v>
      </c>
      <c r="J128" s="310"/>
    </row>
    <row r="129" spans="1:10" s="168" customFormat="1" x14ac:dyDescent="0.2">
      <c r="A129" s="214" t="s">
        <v>310</v>
      </c>
      <c r="B129" s="105"/>
      <c r="C129" s="102">
        <v>38</v>
      </c>
      <c r="D129" s="101" t="s">
        <v>198</v>
      </c>
      <c r="E129" s="103">
        <f>SUM(E130)</f>
        <v>10000</v>
      </c>
      <c r="F129" s="268">
        <f>SUM(F130)</f>
        <v>10000</v>
      </c>
      <c r="G129" s="268">
        <v>10000</v>
      </c>
      <c r="H129" s="268">
        <v>10000</v>
      </c>
      <c r="I129" s="310">
        <f>AVERAGE(G129/F129*100)</f>
        <v>100</v>
      </c>
      <c r="J129" s="310">
        <f>AVERAGE(H129/G129*100)</f>
        <v>100</v>
      </c>
    </row>
    <row r="130" spans="1:10" s="112" customFormat="1" ht="14.25" x14ac:dyDescent="0.2">
      <c r="A130" s="214" t="s">
        <v>310</v>
      </c>
      <c r="B130" s="105"/>
      <c r="C130" s="102">
        <v>383</v>
      </c>
      <c r="D130" s="101" t="s">
        <v>199</v>
      </c>
      <c r="E130" s="103">
        <f>SUM(E131)</f>
        <v>10000</v>
      </c>
      <c r="F130" s="268">
        <f>SUM(F131)</f>
        <v>10000</v>
      </c>
      <c r="G130" s="268"/>
      <c r="H130" s="268"/>
      <c r="I130" s="310">
        <f>AVERAGE(G130/F130*100)</f>
        <v>0</v>
      </c>
      <c r="J130" s="310"/>
    </row>
    <row r="131" spans="1:10" s="112" customFormat="1" ht="14.25" hidden="1" x14ac:dyDescent="0.2">
      <c r="A131" s="214" t="s">
        <v>310</v>
      </c>
      <c r="B131" s="105">
        <v>47</v>
      </c>
      <c r="C131" s="106">
        <v>3831</v>
      </c>
      <c r="D131" s="105" t="s">
        <v>200</v>
      </c>
      <c r="E131" s="107">
        <v>10000</v>
      </c>
      <c r="F131" s="271">
        <v>10000</v>
      </c>
      <c r="G131" s="271"/>
      <c r="H131" s="271"/>
      <c r="I131" s="310">
        <f>AVERAGE(G131/F131*100)</f>
        <v>0</v>
      </c>
      <c r="J131" s="310"/>
    </row>
    <row r="132" spans="1:10" s="170" customFormat="1" ht="13.5" thickBot="1" x14ac:dyDescent="0.25">
      <c r="A132" s="166"/>
      <c r="B132" s="85"/>
      <c r="C132" s="166"/>
      <c r="D132" s="85"/>
      <c r="E132" s="166"/>
      <c r="F132" s="284"/>
      <c r="G132" s="284"/>
      <c r="H132" s="284"/>
      <c r="I132" s="235"/>
      <c r="J132" s="235"/>
    </row>
    <row r="133" spans="1:10" s="154" customFormat="1" ht="17.25" thickBot="1" x14ac:dyDescent="0.3">
      <c r="A133" s="783" t="s">
        <v>201</v>
      </c>
      <c r="B133" s="784"/>
      <c r="C133" s="784"/>
      <c r="D133" s="785"/>
      <c r="E133" s="88">
        <f>SUM(E135+E144+E167)</f>
        <v>0</v>
      </c>
      <c r="F133" s="274">
        <f>SUM(F135+F144+F167)</f>
        <v>236000</v>
      </c>
      <c r="G133" s="274">
        <f>SUM(G135+G144+G167)</f>
        <v>245500</v>
      </c>
      <c r="H133" s="274">
        <f>SUM(H135+H144+H167)</f>
        <v>246000</v>
      </c>
      <c r="I133" s="226">
        <f>AVERAGE(G133/F133*100)</f>
        <v>104.02542372881356</v>
      </c>
      <c r="J133" s="226">
        <f>AVERAGE(H133/G133*100)</f>
        <v>100.20366598778003</v>
      </c>
    </row>
    <row r="134" spans="1:10" s="173" customFormat="1" ht="17.25" thickBot="1" x14ac:dyDescent="0.3">
      <c r="A134" s="171"/>
      <c r="B134" s="171"/>
      <c r="C134" s="171"/>
      <c r="D134" s="171"/>
      <c r="E134" s="172"/>
      <c r="F134" s="285"/>
      <c r="G134" s="285"/>
      <c r="H134" s="285"/>
      <c r="I134" s="227"/>
      <c r="J134" s="227"/>
    </row>
    <row r="135" spans="1:10" s="92" customFormat="1" ht="16.5" thickBot="1" x14ac:dyDescent="0.3">
      <c r="A135" s="777" t="s">
        <v>202</v>
      </c>
      <c r="B135" s="778"/>
      <c r="C135" s="778"/>
      <c r="D135" s="779"/>
      <c r="E135" s="91">
        <f>SUM(E139)</f>
        <v>0</v>
      </c>
      <c r="F135" s="263">
        <f>SUM(F139)</f>
        <v>15000</v>
      </c>
      <c r="G135" s="263">
        <f>SUM(G139)</f>
        <v>15000</v>
      </c>
      <c r="H135" s="263">
        <f>SUM(H139)</f>
        <v>15000</v>
      </c>
      <c r="I135" s="228">
        <f>AVERAGE(G135/F135*100)</f>
        <v>100</v>
      </c>
      <c r="J135" s="228">
        <f>AVERAGE(H135/G135*100)</f>
        <v>100</v>
      </c>
    </row>
    <row r="136" spans="1:10" s="92" customFormat="1" ht="15.75" x14ac:dyDescent="0.25">
      <c r="A136" s="174"/>
      <c r="B136" s="174"/>
      <c r="C136" s="174"/>
      <c r="D136" s="174"/>
      <c r="E136" s="175"/>
      <c r="F136" s="286"/>
      <c r="G136" s="286"/>
      <c r="H136" s="286"/>
      <c r="I136" s="236"/>
      <c r="J136" s="236"/>
    </row>
    <row r="137" spans="1:10" s="1" customFormat="1" ht="15" customHeight="1" x14ac:dyDescent="0.25">
      <c r="A137" s="104"/>
      <c r="B137" s="104"/>
      <c r="C137" s="104"/>
      <c r="D137" s="161" t="s">
        <v>203</v>
      </c>
      <c r="E137" s="176"/>
      <c r="F137" s="287"/>
      <c r="G137" s="287"/>
      <c r="H137" s="287"/>
      <c r="I137" s="176"/>
      <c r="J137" s="176"/>
    </row>
    <row r="138" spans="1:10" s="1" customFormat="1" ht="15" x14ac:dyDescent="0.25">
      <c r="A138" s="104"/>
      <c r="B138" s="104"/>
      <c r="C138" s="104"/>
      <c r="D138" s="219" t="s">
        <v>204</v>
      </c>
      <c r="E138" s="98"/>
      <c r="F138" s="266"/>
      <c r="G138" s="266"/>
      <c r="H138" s="266"/>
      <c r="I138" s="230"/>
      <c r="J138" s="230"/>
    </row>
    <row r="139" spans="1:10" s="1" customFormat="1" ht="15" x14ac:dyDescent="0.25">
      <c r="A139" s="104"/>
      <c r="B139" s="104"/>
      <c r="C139" s="104"/>
      <c r="D139" s="247" t="s">
        <v>299</v>
      </c>
      <c r="E139" s="177">
        <f t="shared" ref="E139:H141" si="11">SUM(E140)</f>
        <v>0</v>
      </c>
      <c r="F139" s="260">
        <f t="shared" si="11"/>
        <v>15000</v>
      </c>
      <c r="G139" s="260">
        <f t="shared" si="11"/>
        <v>15000</v>
      </c>
      <c r="H139" s="260">
        <f t="shared" si="11"/>
        <v>15000</v>
      </c>
      <c r="I139" s="311">
        <f>AVERAGE(G139/F139*100)</f>
        <v>100</v>
      </c>
      <c r="J139" s="311">
        <f>AVERAGE(H139/G139*100)</f>
        <v>100</v>
      </c>
    </row>
    <row r="140" spans="1:10" s="130" customFormat="1" ht="15" x14ac:dyDescent="0.2">
      <c r="A140" s="105" t="s">
        <v>292</v>
      </c>
      <c r="B140" s="101"/>
      <c r="C140" s="143">
        <v>32</v>
      </c>
      <c r="D140" s="101" t="s">
        <v>180</v>
      </c>
      <c r="E140" s="103">
        <f t="shared" si="11"/>
        <v>0</v>
      </c>
      <c r="F140" s="268">
        <f t="shared" si="11"/>
        <v>15000</v>
      </c>
      <c r="G140" s="268">
        <v>15000</v>
      </c>
      <c r="H140" s="268">
        <v>15000</v>
      </c>
      <c r="I140" s="310">
        <f t="shared" ref="I140:J142" si="12">AVERAGE(G140/F140*100)</f>
        <v>100</v>
      </c>
      <c r="J140" s="310">
        <f t="shared" si="12"/>
        <v>100</v>
      </c>
    </row>
    <row r="141" spans="1:10" s="130" customFormat="1" ht="15" x14ac:dyDescent="0.2">
      <c r="A141" s="105" t="s">
        <v>292</v>
      </c>
      <c r="B141" s="101"/>
      <c r="C141" s="102">
        <v>323</v>
      </c>
      <c r="D141" s="101" t="s">
        <v>56</v>
      </c>
      <c r="E141" s="103">
        <f t="shared" si="11"/>
        <v>0</v>
      </c>
      <c r="F141" s="268">
        <f t="shared" si="11"/>
        <v>15000</v>
      </c>
      <c r="G141" s="268"/>
      <c r="H141" s="268"/>
      <c r="I141" s="310">
        <f t="shared" si="12"/>
        <v>0</v>
      </c>
      <c r="J141" s="310"/>
    </row>
    <row r="142" spans="1:10" s="112" customFormat="1" ht="14.25" hidden="1" x14ac:dyDescent="0.2">
      <c r="A142" s="105" t="s">
        <v>292</v>
      </c>
      <c r="B142" s="105">
        <v>48</v>
      </c>
      <c r="C142" s="106">
        <v>3237</v>
      </c>
      <c r="D142" s="105" t="s">
        <v>62</v>
      </c>
      <c r="E142" s="107">
        <v>0</v>
      </c>
      <c r="F142" s="271">
        <v>15000</v>
      </c>
      <c r="G142" s="271"/>
      <c r="H142" s="271"/>
      <c r="I142" s="310">
        <f t="shared" si="12"/>
        <v>0</v>
      </c>
      <c r="J142" s="310"/>
    </row>
    <row r="143" spans="1:10" s="112" customFormat="1" ht="15" thickBot="1" x14ac:dyDescent="0.25">
      <c r="A143" s="109"/>
      <c r="B143" s="109"/>
      <c r="C143" s="110"/>
      <c r="D143" s="109"/>
      <c r="E143" s="111"/>
      <c r="F143" s="273"/>
      <c r="G143" s="273"/>
      <c r="H143" s="273"/>
      <c r="I143" s="232"/>
      <c r="J143" s="232"/>
    </row>
    <row r="144" spans="1:10" s="1" customFormat="1" ht="15.75" customHeight="1" thickBot="1" x14ac:dyDescent="0.3">
      <c r="A144" s="777" t="s">
        <v>205</v>
      </c>
      <c r="B144" s="778"/>
      <c r="C144" s="778"/>
      <c r="D144" s="779"/>
      <c r="E144" s="91">
        <f>SUM(E148+E155+E162)</f>
        <v>0</v>
      </c>
      <c r="F144" s="263">
        <f>SUM(F148+F155+F162)</f>
        <v>30000</v>
      </c>
      <c r="G144" s="263">
        <f>SUM(G148+G155+G162)</f>
        <v>30500</v>
      </c>
      <c r="H144" s="263">
        <f>SUM(H148+H155+H162)</f>
        <v>31000</v>
      </c>
      <c r="I144" s="228">
        <f>AVERAGE(G144/F144*100)</f>
        <v>101.66666666666666</v>
      </c>
      <c r="J144" s="228">
        <f>AVERAGE(H144/G144*100)</f>
        <v>101.63934426229508</v>
      </c>
    </row>
    <row r="145" spans="1:10" s="1" customFormat="1" ht="15.75" customHeight="1" x14ac:dyDescent="0.25">
      <c r="A145" s="174"/>
      <c r="B145" s="174"/>
      <c r="C145" s="174"/>
      <c r="D145" s="174"/>
      <c r="E145" s="175"/>
      <c r="F145" s="286"/>
      <c r="G145" s="286"/>
      <c r="H145" s="286"/>
      <c r="I145" s="227"/>
      <c r="J145" s="227"/>
    </row>
    <row r="146" spans="1:10" s="1" customFormat="1" ht="12.75" customHeight="1" x14ac:dyDescent="0.25">
      <c r="A146" s="104"/>
      <c r="B146" s="104"/>
      <c r="C146" s="104"/>
      <c r="D146" s="161" t="s">
        <v>203</v>
      </c>
      <c r="E146" s="96"/>
      <c r="F146" s="265"/>
      <c r="G146" s="265"/>
      <c r="H146" s="265"/>
      <c r="I146" s="229"/>
      <c r="J146" s="229"/>
    </row>
    <row r="147" spans="1:10" s="1" customFormat="1" ht="12.75" customHeight="1" x14ac:dyDescent="0.25">
      <c r="A147" s="104"/>
      <c r="B147" s="104"/>
      <c r="C147" s="104"/>
      <c r="D147" s="219" t="s">
        <v>197</v>
      </c>
      <c r="E147" s="98"/>
      <c r="F147" s="266"/>
      <c r="G147" s="266"/>
      <c r="H147" s="266"/>
      <c r="I147" s="230"/>
      <c r="J147" s="230"/>
    </row>
    <row r="148" spans="1:10" s="1" customFormat="1" ht="15.75" customHeight="1" x14ac:dyDescent="0.25">
      <c r="A148" s="104"/>
      <c r="B148" s="104"/>
      <c r="C148" s="104"/>
      <c r="D148" s="247" t="s">
        <v>300</v>
      </c>
      <c r="E148" s="177">
        <f t="shared" ref="E148:H149" si="13">SUM(E149)</f>
        <v>0</v>
      </c>
      <c r="F148" s="260">
        <f t="shared" si="13"/>
        <v>2000</v>
      </c>
      <c r="G148" s="260">
        <f t="shared" si="13"/>
        <v>1500</v>
      </c>
      <c r="H148" s="260">
        <f t="shared" si="13"/>
        <v>1000</v>
      </c>
      <c r="I148" s="311">
        <f>AVERAGE(G148/F148*100)</f>
        <v>75</v>
      </c>
      <c r="J148" s="311">
        <f>AVERAGE(H148/G148*100)</f>
        <v>66.666666666666657</v>
      </c>
    </row>
    <row r="149" spans="1:10" s="130" customFormat="1" ht="15" x14ac:dyDescent="0.2">
      <c r="A149" s="105" t="s">
        <v>293</v>
      </c>
      <c r="B149" s="101"/>
      <c r="C149" s="102">
        <v>38</v>
      </c>
      <c r="D149" s="101" t="s">
        <v>198</v>
      </c>
      <c r="E149" s="103">
        <f t="shared" si="13"/>
        <v>0</v>
      </c>
      <c r="F149" s="268">
        <f t="shared" si="13"/>
        <v>2000</v>
      </c>
      <c r="G149" s="268">
        <v>1500</v>
      </c>
      <c r="H149" s="268">
        <v>1000</v>
      </c>
      <c r="I149" s="310">
        <f t="shared" ref="I149:J151" si="14">AVERAGE(G149/F149*100)</f>
        <v>75</v>
      </c>
      <c r="J149" s="310">
        <f t="shared" si="14"/>
        <v>66.666666666666657</v>
      </c>
    </row>
    <row r="150" spans="1:10" s="130" customFormat="1" ht="15" x14ac:dyDescent="0.2">
      <c r="A150" s="105" t="s">
        <v>293</v>
      </c>
      <c r="B150" s="101"/>
      <c r="C150" s="102">
        <v>381</v>
      </c>
      <c r="D150" s="101" t="s">
        <v>37</v>
      </c>
      <c r="E150" s="103">
        <f>SUM(E151)</f>
        <v>0</v>
      </c>
      <c r="F150" s="268">
        <f>SUM(F151)</f>
        <v>2000</v>
      </c>
      <c r="G150" s="268"/>
      <c r="H150" s="268"/>
      <c r="I150" s="310">
        <f t="shared" si="14"/>
        <v>0</v>
      </c>
      <c r="J150" s="310"/>
    </row>
    <row r="151" spans="1:10" s="112" customFormat="1" ht="14.25" hidden="1" x14ac:dyDescent="0.2">
      <c r="A151" s="105" t="s">
        <v>293</v>
      </c>
      <c r="B151" s="105">
        <v>49</v>
      </c>
      <c r="C151" s="106">
        <v>38129</v>
      </c>
      <c r="D151" s="105" t="s">
        <v>206</v>
      </c>
      <c r="E151" s="107">
        <v>0</v>
      </c>
      <c r="F151" s="271">
        <v>2000</v>
      </c>
      <c r="G151" s="271"/>
      <c r="H151" s="271"/>
      <c r="I151" s="310">
        <f t="shared" si="14"/>
        <v>0</v>
      </c>
      <c r="J151" s="310"/>
    </row>
    <row r="152" spans="1:10" s="112" customFormat="1" ht="14.25" x14ac:dyDescent="0.2">
      <c r="A152" s="109"/>
      <c r="B152" s="109"/>
      <c r="C152" s="110"/>
      <c r="D152" s="109"/>
      <c r="E152" s="111"/>
      <c r="F152" s="273"/>
      <c r="G152" s="273"/>
      <c r="H152" s="273"/>
      <c r="I152" s="232"/>
      <c r="J152" s="232"/>
    </row>
    <row r="153" spans="1:10" s="1" customFormat="1" ht="12.75" customHeight="1" x14ac:dyDescent="0.25">
      <c r="A153" s="104"/>
      <c r="B153" s="104"/>
      <c r="C153" s="104"/>
      <c r="D153" s="161" t="s">
        <v>203</v>
      </c>
      <c r="E153" s="96"/>
      <c r="F153" s="265"/>
      <c r="G153" s="265"/>
      <c r="H153" s="265"/>
      <c r="I153" s="229"/>
      <c r="J153" s="229"/>
    </row>
    <row r="154" spans="1:10" s="1" customFormat="1" ht="12.75" customHeight="1" x14ac:dyDescent="0.25">
      <c r="A154" s="104"/>
      <c r="B154" s="104"/>
      <c r="C154" s="104"/>
      <c r="D154" s="219" t="s">
        <v>197</v>
      </c>
      <c r="E154" s="98"/>
      <c r="F154" s="266"/>
      <c r="G154" s="266"/>
      <c r="H154" s="266"/>
      <c r="I154" s="230"/>
      <c r="J154" s="230"/>
    </row>
    <row r="155" spans="1:10" s="1" customFormat="1" ht="15.75" customHeight="1" x14ac:dyDescent="0.25">
      <c r="A155" s="104"/>
      <c r="B155" s="104"/>
      <c r="C155" s="104"/>
      <c r="D155" s="247" t="s">
        <v>301</v>
      </c>
      <c r="E155" s="177">
        <f>SUM(E156)</f>
        <v>0</v>
      </c>
      <c r="F155" s="260">
        <f t="shared" ref="F155:H157" si="15">SUM(F156)</f>
        <v>25000</v>
      </c>
      <c r="G155" s="260">
        <f t="shared" si="15"/>
        <v>25000</v>
      </c>
      <c r="H155" s="260">
        <f t="shared" si="15"/>
        <v>25000</v>
      </c>
      <c r="I155" s="311">
        <f>AVERAGE(G155/F155*100)</f>
        <v>100</v>
      </c>
      <c r="J155" s="311">
        <f>AVERAGE(H155/G155*100)</f>
        <v>100</v>
      </c>
    </row>
    <row r="156" spans="1:10" s="130" customFormat="1" ht="15" x14ac:dyDescent="0.2">
      <c r="A156" s="105" t="s">
        <v>311</v>
      </c>
      <c r="B156" s="101"/>
      <c r="C156" s="102">
        <v>37</v>
      </c>
      <c r="D156" s="101" t="s">
        <v>275</v>
      </c>
      <c r="E156" s="103">
        <f>SUM(E157)</f>
        <v>0</v>
      </c>
      <c r="F156" s="268">
        <f t="shared" si="15"/>
        <v>25000</v>
      </c>
      <c r="G156" s="268">
        <v>25000</v>
      </c>
      <c r="H156" s="268">
        <v>25000</v>
      </c>
      <c r="I156" s="310">
        <f t="shared" ref="I156:J158" si="16">AVERAGE(G156/F156*100)</f>
        <v>100</v>
      </c>
      <c r="J156" s="310">
        <f t="shared" si="16"/>
        <v>100</v>
      </c>
    </row>
    <row r="157" spans="1:10" s="130" customFormat="1" ht="15" x14ac:dyDescent="0.2">
      <c r="A157" s="105" t="s">
        <v>311</v>
      </c>
      <c r="B157" s="101"/>
      <c r="C157" s="102">
        <v>372</v>
      </c>
      <c r="D157" s="101" t="s">
        <v>276</v>
      </c>
      <c r="E157" s="103">
        <f>SUM(E158)</f>
        <v>0</v>
      </c>
      <c r="F157" s="268">
        <f t="shared" si="15"/>
        <v>25000</v>
      </c>
      <c r="G157" s="268"/>
      <c r="H157" s="268"/>
      <c r="I157" s="310">
        <f t="shared" si="16"/>
        <v>0</v>
      </c>
      <c r="J157" s="310"/>
    </row>
    <row r="158" spans="1:10" s="112" customFormat="1" ht="14.25" hidden="1" x14ac:dyDescent="0.2">
      <c r="A158" s="105" t="s">
        <v>311</v>
      </c>
      <c r="B158" s="105">
        <v>50</v>
      </c>
      <c r="C158" s="106">
        <v>3721</v>
      </c>
      <c r="D158" s="105" t="s">
        <v>275</v>
      </c>
      <c r="E158" s="107">
        <v>0</v>
      </c>
      <c r="F158" s="271">
        <v>25000</v>
      </c>
      <c r="G158" s="271"/>
      <c r="H158" s="271"/>
      <c r="I158" s="310">
        <f t="shared" si="16"/>
        <v>0</v>
      </c>
      <c r="J158" s="310"/>
    </row>
    <row r="159" spans="1:10" s="112" customFormat="1" ht="14.25" x14ac:dyDescent="0.2">
      <c r="A159" s="109"/>
      <c r="B159" s="109"/>
      <c r="C159" s="110"/>
      <c r="D159" s="109"/>
      <c r="E159" s="111"/>
      <c r="F159" s="273"/>
      <c r="G159" s="273"/>
      <c r="H159" s="273"/>
      <c r="I159" s="232"/>
      <c r="J159" s="232"/>
    </row>
    <row r="160" spans="1:10" s="1" customFormat="1" ht="12.75" customHeight="1" x14ac:dyDescent="0.25">
      <c r="A160" s="104"/>
      <c r="B160" s="104"/>
      <c r="C160" s="104"/>
      <c r="D160" s="161" t="s">
        <v>203</v>
      </c>
      <c r="E160" s="96"/>
      <c r="F160" s="265"/>
      <c r="G160" s="265"/>
      <c r="H160" s="265"/>
      <c r="I160" s="229"/>
      <c r="J160" s="229"/>
    </row>
    <row r="161" spans="1:10" s="1" customFormat="1" ht="12.75" customHeight="1" x14ac:dyDescent="0.25">
      <c r="A161" s="104"/>
      <c r="B161" s="104"/>
      <c r="C161" s="104"/>
      <c r="D161" s="219" t="s">
        <v>197</v>
      </c>
      <c r="E161" s="98"/>
      <c r="F161" s="266"/>
      <c r="G161" s="266"/>
      <c r="H161" s="266"/>
      <c r="I161" s="230"/>
      <c r="J161" s="230"/>
    </row>
    <row r="162" spans="1:10" s="1" customFormat="1" ht="15.75" customHeight="1" x14ac:dyDescent="0.25">
      <c r="A162" s="104"/>
      <c r="B162" s="104"/>
      <c r="C162" s="104"/>
      <c r="D162" s="247" t="s">
        <v>302</v>
      </c>
      <c r="E162" s="177">
        <f t="shared" ref="E162:H164" si="17">SUM(E163)</f>
        <v>0</v>
      </c>
      <c r="F162" s="260">
        <f t="shared" si="17"/>
        <v>3000</v>
      </c>
      <c r="G162" s="260">
        <f t="shared" si="17"/>
        <v>4000</v>
      </c>
      <c r="H162" s="260">
        <f t="shared" si="17"/>
        <v>5000</v>
      </c>
      <c r="I162" s="311">
        <f>AVERAGE(G162/F162*100)</f>
        <v>133.33333333333331</v>
      </c>
      <c r="J162" s="311">
        <f>AVERAGE(H162/G162*100)</f>
        <v>125</v>
      </c>
    </row>
    <row r="163" spans="1:10" s="130" customFormat="1" ht="15" x14ac:dyDescent="0.2">
      <c r="A163" s="105" t="s">
        <v>312</v>
      </c>
      <c r="B163" s="101"/>
      <c r="C163" s="102">
        <v>37</v>
      </c>
      <c r="D163" s="101" t="s">
        <v>275</v>
      </c>
      <c r="E163" s="103">
        <f t="shared" si="17"/>
        <v>0</v>
      </c>
      <c r="F163" s="268">
        <f t="shared" si="17"/>
        <v>3000</v>
      </c>
      <c r="G163" s="268">
        <v>4000</v>
      </c>
      <c r="H163" s="268">
        <v>5000</v>
      </c>
      <c r="I163" s="310">
        <f t="shared" ref="I163:J165" si="18">AVERAGE(G163/F163*100)</f>
        <v>133.33333333333331</v>
      </c>
      <c r="J163" s="310">
        <f t="shared" si="18"/>
        <v>125</v>
      </c>
    </row>
    <row r="164" spans="1:10" s="130" customFormat="1" ht="15" x14ac:dyDescent="0.2">
      <c r="A164" s="105" t="s">
        <v>312</v>
      </c>
      <c r="B164" s="101"/>
      <c r="C164" s="102">
        <v>372</v>
      </c>
      <c r="D164" s="101" t="s">
        <v>276</v>
      </c>
      <c r="E164" s="103">
        <f>SUM(E165)</f>
        <v>0</v>
      </c>
      <c r="F164" s="268">
        <f t="shared" si="17"/>
        <v>3000</v>
      </c>
      <c r="G164" s="268"/>
      <c r="H164" s="268"/>
      <c r="I164" s="310">
        <f t="shared" si="18"/>
        <v>0</v>
      </c>
      <c r="J164" s="310"/>
    </row>
    <row r="165" spans="1:10" s="112" customFormat="1" ht="14.25" hidden="1" x14ac:dyDescent="0.2">
      <c r="A165" s="105" t="s">
        <v>312</v>
      </c>
      <c r="B165" s="105">
        <v>51</v>
      </c>
      <c r="C165" s="106">
        <v>3722</v>
      </c>
      <c r="D165" s="105" t="s">
        <v>79</v>
      </c>
      <c r="E165" s="107">
        <v>0</v>
      </c>
      <c r="F165" s="271">
        <v>3000</v>
      </c>
      <c r="G165" s="271"/>
      <c r="H165" s="271"/>
      <c r="I165" s="310">
        <f t="shared" si="18"/>
        <v>0</v>
      </c>
      <c r="J165" s="310"/>
    </row>
    <row r="166" spans="1:10" s="112" customFormat="1" ht="15" thickBot="1" x14ac:dyDescent="0.25">
      <c r="A166" s="109"/>
      <c r="B166" s="109"/>
      <c r="C166" s="110"/>
      <c r="D166" s="109"/>
      <c r="E166" s="111"/>
      <c r="F166" s="273"/>
      <c r="G166" s="273"/>
      <c r="H166" s="273"/>
      <c r="I166" s="232"/>
      <c r="J166" s="232"/>
    </row>
    <row r="167" spans="1:10" s="1" customFormat="1" ht="15.75" customHeight="1" thickBot="1" x14ac:dyDescent="0.3">
      <c r="A167" s="777" t="s">
        <v>274</v>
      </c>
      <c r="B167" s="778"/>
      <c r="C167" s="778"/>
      <c r="D167" s="779"/>
      <c r="E167" s="91">
        <f>SUM(E171)</f>
        <v>0</v>
      </c>
      <c r="F167" s="263">
        <f>SUM(F171)</f>
        <v>191000</v>
      </c>
      <c r="G167" s="263">
        <f>SUM(G171)</f>
        <v>200000</v>
      </c>
      <c r="H167" s="263">
        <f>SUM(H171)</f>
        <v>200000</v>
      </c>
      <c r="I167" s="228">
        <f>AVERAGE(G167/F167*100)</f>
        <v>104.71204188481676</v>
      </c>
      <c r="J167" s="228">
        <f>AVERAGE(H167/G167*100)</f>
        <v>100</v>
      </c>
    </row>
    <row r="168" spans="1:10" s="1" customFormat="1" ht="15.75" customHeight="1" x14ac:dyDescent="0.25">
      <c r="A168" s="174"/>
      <c r="B168" s="174"/>
      <c r="C168" s="174"/>
      <c r="D168" s="174"/>
      <c r="E168" s="175"/>
      <c r="F168" s="286"/>
      <c r="G168" s="286"/>
      <c r="H168" s="286"/>
      <c r="I168" s="227"/>
      <c r="J168" s="227"/>
    </row>
    <row r="169" spans="1:10" s="1" customFormat="1" ht="12.75" customHeight="1" x14ac:dyDescent="0.25">
      <c r="A169" s="104"/>
      <c r="B169" s="104"/>
      <c r="C169" s="104"/>
      <c r="D169" s="161" t="s">
        <v>203</v>
      </c>
      <c r="E169" s="96"/>
      <c r="F169" s="265"/>
      <c r="G169" s="265"/>
      <c r="H169" s="265"/>
      <c r="I169" s="229"/>
      <c r="J169" s="229"/>
    </row>
    <row r="170" spans="1:10" s="1" customFormat="1" ht="12.75" customHeight="1" x14ac:dyDescent="0.25">
      <c r="A170" s="104"/>
      <c r="B170" s="104"/>
      <c r="C170" s="104"/>
      <c r="D170" s="219" t="s">
        <v>197</v>
      </c>
      <c r="E170" s="98"/>
      <c r="F170" s="266"/>
      <c r="G170" s="266"/>
      <c r="H170" s="266"/>
      <c r="I170" s="230"/>
      <c r="J170" s="230"/>
    </row>
    <row r="171" spans="1:10" s="1" customFormat="1" ht="15.75" customHeight="1" x14ac:dyDescent="0.25">
      <c r="A171" s="104"/>
      <c r="B171" s="104"/>
      <c r="C171" s="104"/>
      <c r="D171" s="247" t="s">
        <v>303</v>
      </c>
      <c r="E171" s="177">
        <f t="shared" ref="E171:H172" si="19">SUM(E172)</f>
        <v>0</v>
      </c>
      <c r="F171" s="260">
        <f t="shared" si="19"/>
        <v>191000</v>
      </c>
      <c r="G171" s="260">
        <f t="shared" si="19"/>
        <v>200000</v>
      </c>
      <c r="H171" s="260">
        <f t="shared" si="19"/>
        <v>200000</v>
      </c>
      <c r="I171" s="311">
        <f>AVERAGE(G171/F171*100)</f>
        <v>104.71204188481676</v>
      </c>
      <c r="J171" s="311">
        <f>AVERAGE(H171/G171*100)</f>
        <v>100</v>
      </c>
    </row>
    <row r="172" spans="1:10" s="130" customFormat="1" ht="15" x14ac:dyDescent="0.2">
      <c r="A172" s="105" t="s">
        <v>313</v>
      </c>
      <c r="B172" s="101"/>
      <c r="C172" s="102">
        <v>37</v>
      </c>
      <c r="D172" s="101" t="s">
        <v>275</v>
      </c>
      <c r="E172" s="103">
        <f t="shared" si="19"/>
        <v>0</v>
      </c>
      <c r="F172" s="268">
        <f t="shared" si="19"/>
        <v>191000</v>
      </c>
      <c r="G172" s="268">
        <v>200000</v>
      </c>
      <c r="H172" s="268">
        <v>200000</v>
      </c>
      <c r="I172" s="310">
        <f t="shared" ref="I172:J174" si="20">AVERAGE(G172/F172*100)</f>
        <v>104.71204188481676</v>
      </c>
      <c r="J172" s="310">
        <f t="shared" si="20"/>
        <v>100</v>
      </c>
    </row>
    <row r="173" spans="1:10" s="130" customFormat="1" ht="15" x14ac:dyDescent="0.2">
      <c r="A173" s="105" t="s">
        <v>313</v>
      </c>
      <c r="B173" s="101"/>
      <c r="C173" s="102">
        <v>372</v>
      </c>
      <c r="D173" s="101" t="s">
        <v>276</v>
      </c>
      <c r="E173" s="103">
        <f>SUM(E174)</f>
        <v>0</v>
      </c>
      <c r="F173" s="268">
        <f>SUM(F174)</f>
        <v>191000</v>
      </c>
      <c r="G173" s="268"/>
      <c r="H173" s="268"/>
      <c r="I173" s="310">
        <f t="shared" si="20"/>
        <v>0</v>
      </c>
      <c r="J173" s="310"/>
    </row>
    <row r="174" spans="1:10" s="112" customFormat="1" ht="14.25" hidden="1" x14ac:dyDescent="0.2">
      <c r="A174" s="105" t="s">
        <v>313</v>
      </c>
      <c r="B174" s="105">
        <v>52</v>
      </c>
      <c r="C174" s="106">
        <v>37215</v>
      </c>
      <c r="D174" s="105" t="s">
        <v>277</v>
      </c>
      <c r="E174" s="107">
        <v>0</v>
      </c>
      <c r="F174" s="271">
        <v>191000</v>
      </c>
      <c r="G174" s="271"/>
      <c r="H174" s="271"/>
      <c r="I174" s="310">
        <f t="shared" si="20"/>
        <v>0</v>
      </c>
      <c r="J174" s="310"/>
    </row>
    <row r="175" spans="1:10" s="112" customFormat="1" ht="15" thickBot="1" x14ac:dyDescent="0.25">
      <c r="A175" s="109"/>
      <c r="B175" s="109"/>
      <c r="C175" s="110"/>
      <c r="D175" s="109"/>
      <c r="E175" s="111"/>
      <c r="F175" s="273"/>
      <c r="G175" s="273"/>
      <c r="H175" s="273"/>
      <c r="I175" s="232"/>
      <c r="J175" s="232"/>
    </row>
    <row r="176" spans="1:10" s="173" customFormat="1" ht="17.25" thickBot="1" x14ac:dyDescent="0.3">
      <c r="A176" s="816" t="s">
        <v>273</v>
      </c>
      <c r="B176" s="817"/>
      <c r="C176" s="817"/>
      <c r="D176" s="818"/>
      <c r="E176" s="178">
        <f>SUM(E178+E199)</f>
        <v>360000</v>
      </c>
      <c r="F176" s="288">
        <f>SUM(F178+F199)</f>
        <v>141000</v>
      </c>
      <c r="G176" s="288">
        <f>SUM(G178+G199)</f>
        <v>149000</v>
      </c>
      <c r="H176" s="288">
        <f>SUM(H178+H199)</f>
        <v>154000</v>
      </c>
      <c r="I176" s="226">
        <f>AVERAGE(G176/F176*100)</f>
        <v>105.67375886524823</v>
      </c>
      <c r="J176" s="226">
        <f>AVERAGE(H176/G176*100)</f>
        <v>103.35570469798658</v>
      </c>
    </row>
    <row r="177" spans="1:10" s="173" customFormat="1" ht="17.25" thickBot="1" x14ac:dyDescent="0.3">
      <c r="A177" s="171"/>
      <c r="B177" s="171"/>
      <c r="C177" s="171"/>
      <c r="D177" s="171"/>
      <c r="E177" s="172"/>
      <c r="F177" s="285"/>
      <c r="G177" s="285"/>
      <c r="H177" s="285"/>
      <c r="I177" s="227"/>
      <c r="J177" s="227"/>
    </row>
    <row r="178" spans="1:10" s="92" customFormat="1" ht="16.5" thickBot="1" x14ac:dyDescent="0.3">
      <c r="A178" s="777" t="s">
        <v>207</v>
      </c>
      <c r="B178" s="778"/>
      <c r="C178" s="778"/>
      <c r="D178" s="779"/>
      <c r="E178" s="91">
        <f>SUM(E183+E194)</f>
        <v>360000</v>
      </c>
      <c r="F178" s="263">
        <f>SUM(F183+F194)</f>
        <v>106000</v>
      </c>
      <c r="G178" s="263">
        <f>SUM(G183+G194)</f>
        <v>99000</v>
      </c>
      <c r="H178" s="263">
        <f>SUM(H183+H194)</f>
        <v>104000</v>
      </c>
      <c r="I178" s="228">
        <f>AVERAGE(G178/F178*100)</f>
        <v>93.396226415094347</v>
      </c>
      <c r="J178" s="228">
        <f>AVERAGE(H178/G178*100)</f>
        <v>105.05050505050507</v>
      </c>
    </row>
    <row r="179" spans="1:10" s="92" customFormat="1" ht="15.75" x14ac:dyDescent="0.25">
      <c r="A179" s="174"/>
      <c r="B179" s="174"/>
      <c r="C179" s="174"/>
      <c r="D179" s="174"/>
      <c r="E179" s="179"/>
      <c r="F179" s="289"/>
      <c r="G179" s="289"/>
      <c r="H179" s="289"/>
      <c r="I179" s="227"/>
      <c r="J179" s="227"/>
    </row>
    <row r="180" spans="1:10" s="1" customFormat="1" ht="15" x14ac:dyDescent="0.25">
      <c r="A180" s="104"/>
      <c r="B180" s="104"/>
      <c r="C180" s="104"/>
      <c r="D180" s="95" t="s">
        <v>208</v>
      </c>
      <c r="E180" s="96"/>
      <c r="F180" s="265"/>
      <c r="G180" s="265"/>
      <c r="H180" s="265"/>
      <c r="I180" s="237"/>
      <c r="J180" s="237"/>
    </row>
    <row r="181" spans="1:10" s="1" customFormat="1" ht="15" customHeight="1" x14ac:dyDescent="0.25">
      <c r="A181" s="104"/>
      <c r="B181" s="104"/>
      <c r="C181" s="104"/>
      <c r="D181" s="219" t="s">
        <v>209</v>
      </c>
      <c r="E181" s="98"/>
      <c r="F181" s="266"/>
      <c r="G181" s="266"/>
      <c r="H181" s="266"/>
      <c r="I181" s="238"/>
      <c r="J181" s="238"/>
    </row>
    <row r="182" spans="1:10" s="1" customFormat="1" ht="15" customHeight="1" x14ac:dyDescent="0.25">
      <c r="A182" s="104"/>
      <c r="B182" s="104"/>
      <c r="C182" s="104"/>
      <c r="D182" s="786" t="s">
        <v>304</v>
      </c>
      <c r="E182" s="98"/>
      <c r="F182" s="266"/>
      <c r="G182" s="266"/>
      <c r="H182" s="266"/>
      <c r="I182" s="239"/>
      <c r="J182" s="239"/>
    </row>
    <row r="183" spans="1:10" s="1" customFormat="1" ht="15.75" customHeight="1" x14ac:dyDescent="0.25">
      <c r="A183" s="156"/>
      <c r="B183" s="156"/>
      <c r="C183" s="156"/>
      <c r="D183" s="787"/>
      <c r="E183" s="177">
        <f>SUM(E184+E188)</f>
        <v>360000</v>
      </c>
      <c r="F183" s="260">
        <f>SUM(F184+F188)</f>
        <v>102000</v>
      </c>
      <c r="G183" s="260">
        <f>SUM(G184+G188)</f>
        <v>95000</v>
      </c>
      <c r="H183" s="260">
        <f>SUM(H184+H188)</f>
        <v>100000</v>
      </c>
      <c r="I183" s="311">
        <f>AVERAGE(G183/F183*100)</f>
        <v>93.137254901960787</v>
      </c>
      <c r="J183" s="311">
        <f>AVERAGE(H183/G183*100)</f>
        <v>105.26315789473684</v>
      </c>
    </row>
    <row r="184" spans="1:10" s="130" customFormat="1" ht="15" x14ac:dyDescent="0.2">
      <c r="A184" s="145" t="s">
        <v>292</v>
      </c>
      <c r="B184" s="101"/>
      <c r="C184" s="143">
        <v>37</v>
      </c>
      <c r="D184" s="144" t="s">
        <v>77</v>
      </c>
      <c r="E184" s="103">
        <f>SUM(E185)</f>
        <v>340000</v>
      </c>
      <c r="F184" s="268">
        <f>SUM(F185)</f>
        <v>87000</v>
      </c>
      <c r="G184" s="268">
        <v>85000</v>
      </c>
      <c r="H184" s="268">
        <v>90000</v>
      </c>
      <c r="I184" s="310">
        <f t="shared" ref="I184:J190" si="21">AVERAGE(G184/F184*100)</f>
        <v>97.701149425287355</v>
      </c>
      <c r="J184" s="310">
        <f t="shared" si="21"/>
        <v>105.88235294117648</v>
      </c>
    </row>
    <row r="185" spans="1:10" s="112" customFormat="1" ht="14.25" x14ac:dyDescent="0.2">
      <c r="A185" s="145" t="s">
        <v>292</v>
      </c>
      <c r="B185" s="101"/>
      <c r="C185" s="143">
        <v>372</v>
      </c>
      <c r="D185" s="144" t="s">
        <v>77</v>
      </c>
      <c r="E185" s="103">
        <f>SUM(E186:E187)</f>
        <v>340000</v>
      </c>
      <c r="F185" s="268">
        <f>SUM(F186:F187)</f>
        <v>87000</v>
      </c>
      <c r="G185" s="268"/>
      <c r="H185" s="268"/>
      <c r="I185" s="310">
        <f t="shared" si="21"/>
        <v>0</v>
      </c>
      <c r="J185" s="310"/>
    </row>
    <row r="186" spans="1:10" s="112" customFormat="1" ht="14.25" hidden="1" x14ac:dyDescent="0.2">
      <c r="A186" s="145" t="s">
        <v>292</v>
      </c>
      <c r="B186" s="105">
        <v>53</v>
      </c>
      <c r="C186" s="145">
        <v>3721</v>
      </c>
      <c r="D186" s="146" t="s">
        <v>78</v>
      </c>
      <c r="E186" s="107">
        <v>320000</v>
      </c>
      <c r="F186" s="271">
        <v>80000</v>
      </c>
      <c r="G186" s="271"/>
      <c r="H186" s="271"/>
      <c r="I186" s="310">
        <f t="shared" si="21"/>
        <v>0</v>
      </c>
      <c r="J186" s="310"/>
    </row>
    <row r="187" spans="1:10" s="112" customFormat="1" ht="14.25" hidden="1" x14ac:dyDescent="0.2">
      <c r="A187" s="145" t="s">
        <v>292</v>
      </c>
      <c r="B187" s="105">
        <v>54</v>
      </c>
      <c r="C187" s="145">
        <v>3722</v>
      </c>
      <c r="D187" s="146" t="s">
        <v>79</v>
      </c>
      <c r="E187" s="107">
        <v>20000</v>
      </c>
      <c r="F187" s="271">
        <v>7000</v>
      </c>
      <c r="G187" s="271"/>
      <c r="H187" s="271"/>
      <c r="I187" s="310">
        <f t="shared" si="21"/>
        <v>0</v>
      </c>
      <c r="J187" s="310"/>
    </row>
    <row r="188" spans="1:10" s="163" customFormat="1" ht="15" x14ac:dyDescent="0.2">
      <c r="A188" s="145" t="s">
        <v>292</v>
      </c>
      <c r="B188" s="143"/>
      <c r="C188" s="102">
        <v>38</v>
      </c>
      <c r="D188" s="144" t="s">
        <v>128</v>
      </c>
      <c r="E188" s="103">
        <f>SUM(E189)</f>
        <v>20000</v>
      </c>
      <c r="F188" s="268">
        <f>SUM(F189)</f>
        <v>15000</v>
      </c>
      <c r="G188" s="268">
        <v>10000</v>
      </c>
      <c r="H188" s="268">
        <v>10000</v>
      </c>
      <c r="I188" s="310">
        <f t="shared" si="21"/>
        <v>66.666666666666657</v>
      </c>
      <c r="J188" s="310">
        <f t="shared" si="21"/>
        <v>100</v>
      </c>
    </row>
    <row r="189" spans="1:10" s="163" customFormat="1" ht="15" x14ac:dyDescent="0.2">
      <c r="A189" s="145" t="s">
        <v>292</v>
      </c>
      <c r="B189" s="143"/>
      <c r="C189" s="102">
        <v>382</v>
      </c>
      <c r="D189" s="144" t="s">
        <v>38</v>
      </c>
      <c r="E189" s="103">
        <f>SUM(E190)</f>
        <v>20000</v>
      </c>
      <c r="F189" s="268">
        <f>SUM(F190)</f>
        <v>15000</v>
      </c>
      <c r="G189" s="268"/>
      <c r="H189" s="268"/>
      <c r="I189" s="310">
        <f t="shared" si="21"/>
        <v>0</v>
      </c>
      <c r="J189" s="310"/>
    </row>
    <row r="190" spans="1:10" s="158" customFormat="1" ht="14.25" hidden="1" x14ac:dyDescent="0.2">
      <c r="A190" s="145" t="s">
        <v>292</v>
      </c>
      <c r="B190" s="213">
        <v>55</v>
      </c>
      <c r="C190" s="106">
        <v>3822</v>
      </c>
      <c r="D190" s="146" t="s">
        <v>88</v>
      </c>
      <c r="E190" s="107">
        <v>20000</v>
      </c>
      <c r="F190" s="271">
        <v>15000</v>
      </c>
      <c r="G190" s="271"/>
      <c r="H190" s="271"/>
      <c r="I190" s="310">
        <f t="shared" si="21"/>
        <v>0</v>
      </c>
      <c r="J190" s="310"/>
    </row>
    <row r="191" spans="1:10" s="170" customFormat="1" x14ac:dyDescent="0.2">
      <c r="A191" s="166"/>
      <c r="B191" s="85"/>
      <c r="C191" s="166"/>
      <c r="D191" s="85"/>
      <c r="E191" s="166"/>
      <c r="F191" s="284"/>
      <c r="G191" s="284"/>
      <c r="H191" s="284"/>
      <c r="I191" s="235"/>
      <c r="J191" s="235"/>
    </row>
    <row r="192" spans="1:10" s="180" customFormat="1" ht="15" x14ac:dyDescent="0.25">
      <c r="B192" s="75"/>
      <c r="C192" s="181"/>
      <c r="D192" s="182" t="s">
        <v>208</v>
      </c>
      <c r="E192" s="96"/>
      <c r="F192" s="265"/>
      <c r="G192" s="265"/>
      <c r="H192" s="265"/>
      <c r="I192" s="237"/>
      <c r="J192" s="237"/>
    </row>
    <row r="193" spans="1:10" s="180" customFormat="1" ht="14.25" x14ac:dyDescent="0.2">
      <c r="B193" s="75"/>
      <c r="C193" s="181"/>
      <c r="D193" s="218" t="s">
        <v>197</v>
      </c>
      <c r="E193" s="183"/>
      <c r="F193" s="290"/>
      <c r="G193" s="290"/>
      <c r="H193" s="290"/>
      <c r="I193" s="238"/>
      <c r="J193" s="238"/>
    </row>
    <row r="194" spans="1:10" s="75" customFormat="1" ht="30" x14ac:dyDescent="0.25">
      <c r="C194" s="181"/>
      <c r="D194" s="252" t="s">
        <v>305</v>
      </c>
      <c r="E194" s="177">
        <f t="shared" ref="E194:H196" si="22">SUM(E195)</f>
        <v>0</v>
      </c>
      <c r="F194" s="260">
        <f t="shared" si="22"/>
        <v>4000</v>
      </c>
      <c r="G194" s="260">
        <f t="shared" si="22"/>
        <v>4000</v>
      </c>
      <c r="H194" s="260">
        <f t="shared" si="22"/>
        <v>4000</v>
      </c>
      <c r="I194" s="312">
        <f>AVERAGE(G194/F194*100)</f>
        <v>100</v>
      </c>
      <c r="J194" s="312">
        <f>AVERAGE(H194/G194*100)</f>
        <v>100</v>
      </c>
    </row>
    <row r="195" spans="1:10" s="163" customFormat="1" ht="15" x14ac:dyDescent="0.2">
      <c r="A195" s="145" t="s">
        <v>306</v>
      </c>
      <c r="B195" s="143"/>
      <c r="C195" s="102">
        <v>37</v>
      </c>
      <c r="D195" s="144" t="s">
        <v>77</v>
      </c>
      <c r="E195" s="103">
        <f t="shared" si="22"/>
        <v>0</v>
      </c>
      <c r="F195" s="268">
        <f t="shared" si="22"/>
        <v>4000</v>
      </c>
      <c r="G195" s="268">
        <v>4000</v>
      </c>
      <c r="H195" s="268">
        <v>4000</v>
      </c>
      <c r="I195" s="310">
        <f t="shared" ref="I195:J197" si="23">AVERAGE(G195/F195*100)</f>
        <v>100</v>
      </c>
      <c r="J195" s="310">
        <f t="shared" si="23"/>
        <v>100</v>
      </c>
    </row>
    <row r="196" spans="1:10" s="163" customFormat="1" ht="15" x14ac:dyDescent="0.2">
      <c r="A196" s="145" t="s">
        <v>306</v>
      </c>
      <c r="B196" s="143"/>
      <c r="C196" s="102">
        <v>372</v>
      </c>
      <c r="D196" s="144" t="s">
        <v>77</v>
      </c>
      <c r="E196" s="103">
        <f t="shared" si="22"/>
        <v>0</v>
      </c>
      <c r="F196" s="268">
        <f t="shared" si="22"/>
        <v>4000</v>
      </c>
      <c r="G196" s="268"/>
      <c r="H196" s="268"/>
      <c r="I196" s="310">
        <f t="shared" si="23"/>
        <v>0</v>
      </c>
      <c r="J196" s="310"/>
    </row>
    <row r="197" spans="1:10" s="158" customFormat="1" ht="14.25" hidden="1" x14ac:dyDescent="0.2">
      <c r="A197" s="145" t="s">
        <v>306</v>
      </c>
      <c r="B197" s="213">
        <v>56</v>
      </c>
      <c r="C197" s="106">
        <v>3721</v>
      </c>
      <c r="D197" s="146" t="s">
        <v>78</v>
      </c>
      <c r="E197" s="107">
        <v>0</v>
      </c>
      <c r="F197" s="271">
        <v>4000</v>
      </c>
      <c r="G197" s="271"/>
      <c r="H197" s="271"/>
      <c r="I197" s="310">
        <f t="shared" si="23"/>
        <v>0</v>
      </c>
      <c r="J197" s="310"/>
    </row>
    <row r="198" spans="1:10" s="158" customFormat="1" ht="15" thickBot="1" x14ac:dyDescent="0.25">
      <c r="A198" s="152"/>
      <c r="B198" s="152"/>
      <c r="C198" s="110"/>
      <c r="D198" s="153"/>
      <c r="E198" s="111"/>
      <c r="F198" s="273"/>
      <c r="G198" s="273"/>
      <c r="H198" s="273"/>
      <c r="I198" s="232"/>
      <c r="J198" s="232"/>
    </row>
    <row r="199" spans="1:10" s="79" customFormat="1" ht="16.5" customHeight="1" thickBot="1" x14ac:dyDescent="0.3">
      <c r="A199" s="789" t="s">
        <v>210</v>
      </c>
      <c r="B199" s="790"/>
      <c r="C199" s="790"/>
      <c r="D199" s="791"/>
      <c r="E199" s="91">
        <f>SUM(E203)</f>
        <v>0</v>
      </c>
      <c r="F199" s="263">
        <f>SUM(F203)</f>
        <v>35000</v>
      </c>
      <c r="G199" s="263">
        <f>SUM(G203)</f>
        <v>50000</v>
      </c>
      <c r="H199" s="263">
        <f>SUM(H203)</f>
        <v>50000</v>
      </c>
      <c r="I199" s="228">
        <f>AVERAGE(G199/F199*100)</f>
        <v>142.85714285714286</v>
      </c>
      <c r="J199" s="228">
        <f>AVERAGE(H199/G199*100)</f>
        <v>100</v>
      </c>
    </row>
    <row r="200" spans="1:10" s="79" customFormat="1" ht="15.75" x14ac:dyDescent="0.25">
      <c r="A200" s="80"/>
      <c r="B200" s="80"/>
      <c r="C200" s="80"/>
      <c r="D200" s="80"/>
      <c r="E200" s="179"/>
      <c r="F200" s="289"/>
      <c r="G200" s="289"/>
      <c r="H200" s="289"/>
      <c r="I200" s="227"/>
      <c r="J200" s="227"/>
    </row>
    <row r="201" spans="1:10" s="180" customFormat="1" ht="14.25" x14ac:dyDescent="0.2">
      <c r="D201" s="182" t="s">
        <v>211</v>
      </c>
      <c r="E201" s="162"/>
      <c r="F201" s="283"/>
      <c r="G201" s="283"/>
      <c r="H201" s="283"/>
      <c r="I201" s="229"/>
      <c r="J201" s="229"/>
    </row>
    <row r="202" spans="1:10" s="180" customFormat="1" x14ac:dyDescent="0.2">
      <c r="D202" s="218" t="s">
        <v>195</v>
      </c>
      <c r="E202" s="184"/>
      <c r="F202" s="291"/>
      <c r="G202" s="291"/>
      <c r="H202" s="291"/>
      <c r="I202" s="230"/>
      <c r="J202" s="230"/>
    </row>
    <row r="203" spans="1:10" s="75" customFormat="1" ht="15" x14ac:dyDescent="0.25">
      <c r="A203" s="180"/>
      <c r="B203" s="180"/>
      <c r="C203" s="180"/>
      <c r="D203" s="252" t="s">
        <v>314</v>
      </c>
      <c r="E203" s="177">
        <f t="shared" ref="E203:H205" si="24">SUM(E204)</f>
        <v>0</v>
      </c>
      <c r="F203" s="260">
        <f t="shared" si="24"/>
        <v>35000</v>
      </c>
      <c r="G203" s="260">
        <f t="shared" si="24"/>
        <v>50000</v>
      </c>
      <c r="H203" s="260">
        <f t="shared" si="24"/>
        <v>50000</v>
      </c>
      <c r="I203" s="312">
        <f>AVERAGE(G203/F203*100)</f>
        <v>142.85714285714286</v>
      </c>
      <c r="J203" s="312">
        <f>AVERAGE(H203/G203*100)</f>
        <v>100</v>
      </c>
    </row>
    <row r="204" spans="1:10" s="130" customFormat="1" ht="15" x14ac:dyDescent="0.2">
      <c r="A204" s="105" t="s">
        <v>293</v>
      </c>
      <c r="B204" s="101"/>
      <c r="C204" s="143">
        <v>32</v>
      </c>
      <c r="D204" s="144" t="s">
        <v>180</v>
      </c>
      <c r="E204" s="103">
        <f t="shared" si="24"/>
        <v>0</v>
      </c>
      <c r="F204" s="268">
        <f t="shared" si="24"/>
        <v>35000</v>
      </c>
      <c r="G204" s="268">
        <v>50000</v>
      </c>
      <c r="H204" s="268">
        <v>50000</v>
      </c>
      <c r="I204" s="310">
        <f t="shared" ref="I204:J206" si="25">AVERAGE(G204/F204*100)</f>
        <v>142.85714285714286</v>
      </c>
      <c r="J204" s="310">
        <f t="shared" si="25"/>
        <v>100</v>
      </c>
    </row>
    <row r="205" spans="1:10" s="130" customFormat="1" ht="15" x14ac:dyDescent="0.2">
      <c r="A205" s="105" t="s">
        <v>293</v>
      </c>
      <c r="B205" s="101"/>
      <c r="C205" s="143">
        <v>323</v>
      </c>
      <c r="D205" s="144" t="s">
        <v>56</v>
      </c>
      <c r="E205" s="103">
        <f t="shared" si="24"/>
        <v>0</v>
      </c>
      <c r="F205" s="268">
        <f t="shared" si="24"/>
        <v>35000</v>
      </c>
      <c r="G205" s="268"/>
      <c r="H205" s="268"/>
      <c r="I205" s="310">
        <f t="shared" si="25"/>
        <v>0</v>
      </c>
      <c r="J205" s="310"/>
    </row>
    <row r="206" spans="1:10" s="158" customFormat="1" ht="14.25" hidden="1" x14ac:dyDescent="0.2">
      <c r="A206" s="105" t="s">
        <v>293</v>
      </c>
      <c r="B206" s="145">
        <v>57</v>
      </c>
      <c r="C206" s="106">
        <v>3234</v>
      </c>
      <c r="D206" s="146" t="s">
        <v>60</v>
      </c>
      <c r="E206" s="107">
        <v>0</v>
      </c>
      <c r="F206" s="271">
        <v>35000</v>
      </c>
      <c r="G206" s="271"/>
      <c r="H206" s="271"/>
      <c r="I206" s="310">
        <f t="shared" si="25"/>
        <v>0</v>
      </c>
      <c r="J206" s="310"/>
    </row>
    <row r="207" spans="1:10" s="158" customFormat="1" ht="15" thickBot="1" x14ac:dyDescent="0.25">
      <c r="A207" s="112"/>
      <c r="C207" s="169"/>
      <c r="D207" s="159"/>
      <c r="E207" s="160"/>
      <c r="F207" s="282"/>
      <c r="G207" s="282"/>
      <c r="H207" s="282"/>
      <c r="I207" s="232"/>
      <c r="J207" s="232"/>
    </row>
    <row r="208" spans="1:10" s="173" customFormat="1" ht="17.25" customHeight="1" thickBot="1" x14ac:dyDescent="0.3">
      <c r="A208" s="792" t="s">
        <v>212</v>
      </c>
      <c r="B208" s="793"/>
      <c r="C208" s="793"/>
      <c r="D208" s="794"/>
      <c r="E208" s="178">
        <f>SUM(E210+E244)</f>
        <v>15000</v>
      </c>
      <c r="F208" s="288">
        <f>SUM(F210+F244)</f>
        <v>140000</v>
      </c>
      <c r="G208" s="288">
        <f>SUM(G210+G244)</f>
        <v>175000</v>
      </c>
      <c r="H208" s="288">
        <f>SUM(H210+H244)</f>
        <v>195000</v>
      </c>
      <c r="I208" s="226">
        <f>AVERAGE(G208/F208*100)</f>
        <v>125</v>
      </c>
      <c r="J208" s="226">
        <f>AVERAGE(H208/G208*100)</f>
        <v>111.42857142857143</v>
      </c>
    </row>
    <row r="209" spans="1:10" s="173" customFormat="1" ht="17.25" thickBot="1" x14ac:dyDescent="0.3">
      <c r="A209" s="185"/>
      <c r="B209" s="185"/>
      <c r="C209" s="185"/>
      <c r="D209" s="185"/>
      <c r="E209" s="172"/>
      <c r="F209" s="285"/>
      <c r="G209" s="285"/>
      <c r="H209" s="285"/>
      <c r="I209" s="227"/>
      <c r="J209" s="227"/>
    </row>
    <row r="210" spans="1:10" s="79" customFormat="1" ht="16.5" customHeight="1" thickBot="1" x14ac:dyDescent="0.3">
      <c r="A210" s="795" t="s">
        <v>213</v>
      </c>
      <c r="B210" s="796"/>
      <c r="C210" s="796"/>
      <c r="D210" s="797"/>
      <c r="E210" s="91">
        <f>SUM(E214+E221+E228+E239)</f>
        <v>5000</v>
      </c>
      <c r="F210" s="263">
        <f>SUM(F214+F221+F228+F239)</f>
        <v>135000</v>
      </c>
      <c r="G210" s="263">
        <f>SUM(G214+G221+G228+G239)</f>
        <v>170000</v>
      </c>
      <c r="H210" s="263">
        <f>SUM(H214+H221+H228+H239)</f>
        <v>190000</v>
      </c>
      <c r="I210" s="228">
        <f>AVERAGE(G210/F210*100)</f>
        <v>125.92592592592592</v>
      </c>
      <c r="J210" s="228">
        <f>AVERAGE(H210/G210*100)</f>
        <v>111.76470588235294</v>
      </c>
    </row>
    <row r="211" spans="1:10" s="79" customFormat="1" ht="15.75" x14ac:dyDescent="0.25">
      <c r="A211" s="186"/>
      <c r="B211" s="186"/>
      <c r="C211" s="186"/>
      <c r="D211" s="186"/>
      <c r="E211" s="179"/>
      <c r="F211" s="289"/>
      <c r="G211" s="289"/>
      <c r="H211" s="289"/>
      <c r="I211" s="227"/>
      <c r="J211" s="227"/>
    </row>
    <row r="212" spans="1:10" ht="15" x14ac:dyDescent="0.25">
      <c r="A212" s="819"/>
      <c r="B212" s="819"/>
      <c r="C212" s="820"/>
      <c r="D212" s="95" t="s">
        <v>214</v>
      </c>
      <c r="E212" s="96"/>
      <c r="F212" s="265"/>
      <c r="G212" s="265"/>
      <c r="H212" s="265"/>
      <c r="I212" s="229"/>
      <c r="J212" s="229"/>
    </row>
    <row r="213" spans="1:10" ht="15" x14ac:dyDescent="0.25">
      <c r="A213" s="819"/>
      <c r="B213" s="819"/>
      <c r="C213" s="820"/>
      <c r="D213" s="219" t="s">
        <v>215</v>
      </c>
      <c r="E213" s="98"/>
      <c r="F213" s="266"/>
      <c r="G213" s="266"/>
      <c r="H213" s="266"/>
      <c r="I213" s="230"/>
      <c r="J213" s="230"/>
    </row>
    <row r="214" spans="1:10" s="1" customFormat="1" ht="15" x14ac:dyDescent="0.25">
      <c r="A214" s="821"/>
      <c r="B214" s="821"/>
      <c r="C214" s="822"/>
      <c r="D214" s="248" t="s">
        <v>315</v>
      </c>
      <c r="E214" s="177">
        <f t="shared" ref="E214:H216" si="26">SUM(E215)</f>
        <v>5000</v>
      </c>
      <c r="F214" s="260">
        <f t="shared" si="26"/>
        <v>100000</v>
      </c>
      <c r="G214" s="260">
        <f t="shared" si="26"/>
        <v>120000</v>
      </c>
      <c r="H214" s="260">
        <f t="shared" si="26"/>
        <v>150000</v>
      </c>
      <c r="I214" s="312">
        <f>AVERAGE(G214/F214*100)</f>
        <v>120</v>
      </c>
      <c r="J214" s="312">
        <f>AVERAGE(H214/G214*100)</f>
        <v>125</v>
      </c>
    </row>
    <row r="215" spans="1:10" s="163" customFormat="1" ht="15" x14ac:dyDescent="0.2">
      <c r="A215" s="131" t="s">
        <v>292</v>
      </c>
      <c r="B215" s="143"/>
      <c r="C215" s="102">
        <v>32</v>
      </c>
      <c r="D215" s="144" t="s">
        <v>180</v>
      </c>
      <c r="E215" s="103">
        <f t="shared" si="26"/>
        <v>5000</v>
      </c>
      <c r="F215" s="268">
        <f t="shared" si="26"/>
        <v>100000</v>
      </c>
      <c r="G215" s="268">
        <v>120000</v>
      </c>
      <c r="H215" s="268">
        <v>150000</v>
      </c>
      <c r="I215" s="310">
        <f t="shared" ref="I215:J217" si="27">AVERAGE(G215/F215*100)</f>
        <v>120</v>
      </c>
      <c r="J215" s="310">
        <f t="shared" si="27"/>
        <v>125</v>
      </c>
    </row>
    <row r="216" spans="1:10" s="163" customFormat="1" ht="15" x14ac:dyDescent="0.2">
      <c r="A216" s="131" t="s">
        <v>292</v>
      </c>
      <c r="B216" s="143"/>
      <c r="C216" s="102">
        <v>323</v>
      </c>
      <c r="D216" s="144" t="s">
        <v>56</v>
      </c>
      <c r="E216" s="103">
        <f t="shared" si="26"/>
        <v>5000</v>
      </c>
      <c r="F216" s="268">
        <f t="shared" si="26"/>
        <v>100000</v>
      </c>
      <c r="G216" s="268"/>
      <c r="H216" s="268"/>
      <c r="I216" s="310">
        <f t="shared" si="27"/>
        <v>0</v>
      </c>
      <c r="J216" s="310"/>
    </row>
    <row r="217" spans="1:10" s="158" customFormat="1" ht="14.25" hidden="1" x14ac:dyDescent="0.2">
      <c r="A217" s="131" t="s">
        <v>292</v>
      </c>
      <c r="B217" s="145">
        <v>58</v>
      </c>
      <c r="C217" s="106">
        <v>3239</v>
      </c>
      <c r="D217" s="146" t="s">
        <v>216</v>
      </c>
      <c r="E217" s="107">
        <v>5000</v>
      </c>
      <c r="F217" s="271">
        <v>100000</v>
      </c>
      <c r="G217" s="271"/>
      <c r="H217" s="271"/>
      <c r="I217" s="310">
        <f t="shared" si="27"/>
        <v>0</v>
      </c>
      <c r="J217" s="310"/>
    </row>
    <row r="218" spans="1:10" s="158" customFormat="1" ht="14.25" x14ac:dyDescent="0.2">
      <c r="A218" s="152"/>
      <c r="B218" s="152"/>
      <c r="C218" s="110"/>
      <c r="D218" s="153"/>
      <c r="E218" s="111"/>
      <c r="F218" s="273"/>
      <c r="G218" s="273"/>
      <c r="H218" s="273"/>
      <c r="I218" s="232"/>
      <c r="J218" s="232"/>
    </row>
    <row r="219" spans="1:10" ht="15" x14ac:dyDescent="0.25">
      <c r="A219" s="108"/>
      <c r="B219" s="1"/>
      <c r="C219" s="187"/>
      <c r="D219" s="182" t="s">
        <v>214</v>
      </c>
      <c r="E219" s="96"/>
      <c r="F219" s="265"/>
      <c r="G219" s="265"/>
      <c r="H219" s="265"/>
      <c r="I219" s="780">
        <v>0</v>
      </c>
      <c r="J219" s="780">
        <v>0</v>
      </c>
    </row>
    <row r="220" spans="1:10" ht="15" x14ac:dyDescent="0.25">
      <c r="A220" s="108"/>
      <c r="B220" s="1"/>
      <c r="C220" s="187"/>
      <c r="D220" s="218" t="s">
        <v>217</v>
      </c>
      <c r="E220" s="98"/>
      <c r="F220" s="266"/>
      <c r="G220" s="266"/>
      <c r="H220" s="266"/>
      <c r="I220" s="781"/>
      <c r="J220" s="781"/>
    </row>
    <row r="221" spans="1:10" s="1" customFormat="1" ht="15" x14ac:dyDescent="0.25">
      <c r="A221" s="104"/>
      <c r="C221" s="187"/>
      <c r="D221" s="252" t="s">
        <v>316</v>
      </c>
      <c r="E221" s="177">
        <f t="shared" ref="E221:H223" si="28">SUM(E222)</f>
        <v>0</v>
      </c>
      <c r="F221" s="260">
        <f t="shared" si="28"/>
        <v>15000</v>
      </c>
      <c r="G221" s="260">
        <f t="shared" si="28"/>
        <v>20000</v>
      </c>
      <c r="H221" s="260">
        <f t="shared" si="28"/>
        <v>20000</v>
      </c>
      <c r="I221" s="782"/>
      <c r="J221" s="782"/>
    </row>
    <row r="222" spans="1:10" s="163" customFormat="1" ht="15" x14ac:dyDescent="0.2">
      <c r="A222" s="145" t="s">
        <v>306</v>
      </c>
      <c r="B222" s="143"/>
      <c r="C222" s="102">
        <v>38</v>
      </c>
      <c r="D222" s="144" t="s">
        <v>128</v>
      </c>
      <c r="E222" s="103">
        <f t="shared" si="28"/>
        <v>0</v>
      </c>
      <c r="F222" s="268">
        <f t="shared" si="28"/>
        <v>15000</v>
      </c>
      <c r="G222" s="268">
        <v>20000</v>
      </c>
      <c r="H222" s="268">
        <v>20000</v>
      </c>
      <c r="I222" s="310">
        <f t="shared" ref="I222:J224" si="29">AVERAGE(G222/F222*100)</f>
        <v>133.33333333333331</v>
      </c>
      <c r="J222" s="310">
        <f t="shared" si="29"/>
        <v>100</v>
      </c>
    </row>
    <row r="223" spans="1:10" s="163" customFormat="1" ht="15" x14ac:dyDescent="0.2">
      <c r="A223" s="145" t="s">
        <v>306</v>
      </c>
      <c r="B223" s="143"/>
      <c r="C223" s="102">
        <v>381</v>
      </c>
      <c r="D223" s="144" t="s">
        <v>37</v>
      </c>
      <c r="E223" s="103">
        <f t="shared" si="28"/>
        <v>0</v>
      </c>
      <c r="F223" s="268">
        <f t="shared" si="28"/>
        <v>15000</v>
      </c>
      <c r="G223" s="268"/>
      <c r="H223" s="268"/>
      <c r="I223" s="310">
        <f t="shared" si="29"/>
        <v>0</v>
      </c>
      <c r="J223" s="310"/>
    </row>
    <row r="224" spans="1:10" s="158" customFormat="1" ht="14.25" hidden="1" x14ac:dyDescent="0.2">
      <c r="A224" s="145" t="s">
        <v>306</v>
      </c>
      <c r="B224" s="145">
        <v>59</v>
      </c>
      <c r="C224" s="106">
        <v>3811</v>
      </c>
      <c r="D224" s="146" t="s">
        <v>279</v>
      </c>
      <c r="E224" s="107">
        <v>0</v>
      </c>
      <c r="F224" s="271">
        <v>15000</v>
      </c>
      <c r="G224" s="271"/>
      <c r="H224" s="271"/>
      <c r="I224" s="310">
        <f t="shared" si="29"/>
        <v>0</v>
      </c>
      <c r="J224" s="310"/>
    </row>
    <row r="225" spans="1:10" s="158" customFormat="1" ht="14.25" x14ac:dyDescent="0.2">
      <c r="A225" s="152"/>
      <c r="B225" s="152"/>
      <c r="C225" s="110"/>
      <c r="D225" s="153"/>
      <c r="E225" s="111"/>
      <c r="F225" s="273"/>
      <c r="G225" s="273"/>
      <c r="H225" s="273"/>
      <c r="I225" s="232"/>
      <c r="J225" s="232"/>
    </row>
    <row r="226" spans="1:10" ht="15" x14ac:dyDescent="0.25">
      <c r="A226" s="108"/>
      <c r="B226" s="1"/>
      <c r="C226" s="187"/>
      <c r="D226" s="182" t="s">
        <v>214</v>
      </c>
      <c r="E226" s="96"/>
      <c r="F226" s="265"/>
      <c r="G226" s="265"/>
      <c r="H226" s="265"/>
      <c r="I226" s="229"/>
      <c r="J226" s="229"/>
    </row>
    <row r="227" spans="1:10" ht="15" x14ac:dyDescent="0.25">
      <c r="A227" s="108"/>
      <c r="B227" s="1"/>
      <c r="C227" s="187"/>
      <c r="D227" s="218" t="s">
        <v>197</v>
      </c>
      <c r="E227" s="98"/>
      <c r="F227" s="266"/>
      <c r="G227" s="266"/>
      <c r="H227" s="266"/>
      <c r="I227" s="230"/>
      <c r="J227" s="230"/>
    </row>
    <row r="228" spans="1:10" s="1" customFormat="1" ht="15" x14ac:dyDescent="0.25">
      <c r="A228" s="104"/>
      <c r="C228" s="187"/>
      <c r="D228" s="253" t="s">
        <v>317</v>
      </c>
      <c r="E228" s="177">
        <f>SUM(E229+E232)</f>
        <v>0</v>
      </c>
      <c r="F228" s="260">
        <f>SUM(F229+F232)</f>
        <v>15000</v>
      </c>
      <c r="G228" s="260">
        <f>SUM(G229+G232)</f>
        <v>25000</v>
      </c>
      <c r="H228" s="260">
        <f>SUM(H229+H232)</f>
        <v>15000</v>
      </c>
      <c r="I228" s="312">
        <f>AVERAGE(G228/F228*100)</f>
        <v>166.66666666666669</v>
      </c>
      <c r="J228" s="312">
        <f>AVERAGE(H228/G228*100)</f>
        <v>60</v>
      </c>
    </row>
    <row r="229" spans="1:10" s="163" customFormat="1" ht="15" x14ac:dyDescent="0.2">
      <c r="A229" s="145" t="s">
        <v>307</v>
      </c>
      <c r="B229" s="143"/>
      <c r="C229" s="143">
        <v>32</v>
      </c>
      <c r="D229" s="144" t="s">
        <v>180</v>
      </c>
      <c r="E229" s="103">
        <f>SUM(E230)</f>
        <v>0</v>
      </c>
      <c r="F229" s="268">
        <f>SUM(F230)</f>
        <v>5000</v>
      </c>
      <c r="G229" s="268">
        <v>5000</v>
      </c>
      <c r="H229" s="268">
        <v>5000</v>
      </c>
      <c r="I229" s="310">
        <f t="shared" ref="I229:J234" si="30">AVERAGE(G229/F229*100)</f>
        <v>100</v>
      </c>
      <c r="J229" s="310">
        <f t="shared" si="30"/>
        <v>100</v>
      </c>
    </row>
    <row r="230" spans="1:10" s="163" customFormat="1" ht="15" x14ac:dyDescent="0.2">
      <c r="A230" s="145" t="s">
        <v>307</v>
      </c>
      <c r="B230" s="143"/>
      <c r="C230" s="143">
        <v>322</v>
      </c>
      <c r="D230" s="144" t="s">
        <v>52</v>
      </c>
      <c r="E230" s="103">
        <f>SUM(E231)</f>
        <v>0</v>
      </c>
      <c r="F230" s="268">
        <f>SUM(F231)</f>
        <v>5000</v>
      </c>
      <c r="G230" s="268"/>
      <c r="H230" s="268"/>
      <c r="I230" s="310">
        <f t="shared" si="30"/>
        <v>0</v>
      </c>
      <c r="J230" s="310"/>
    </row>
    <row r="231" spans="1:10" s="158" customFormat="1" ht="14.25" hidden="1" x14ac:dyDescent="0.2">
      <c r="A231" s="145" t="s">
        <v>307</v>
      </c>
      <c r="B231" s="145">
        <v>60</v>
      </c>
      <c r="C231" s="145">
        <v>3227</v>
      </c>
      <c r="D231" s="146" t="s">
        <v>219</v>
      </c>
      <c r="E231" s="107">
        <v>0</v>
      </c>
      <c r="F231" s="271">
        <v>5000</v>
      </c>
      <c r="G231" s="271"/>
      <c r="H231" s="271"/>
      <c r="I231" s="310">
        <f t="shared" si="30"/>
        <v>0</v>
      </c>
      <c r="J231" s="310"/>
    </row>
    <row r="232" spans="1:10" s="163" customFormat="1" ht="15" x14ac:dyDescent="0.2">
      <c r="A232" s="145" t="s">
        <v>307</v>
      </c>
      <c r="B232" s="143"/>
      <c r="C232" s="143">
        <v>42</v>
      </c>
      <c r="D232" s="144" t="s">
        <v>278</v>
      </c>
      <c r="E232" s="103">
        <f>SUM(E233)</f>
        <v>0</v>
      </c>
      <c r="F232" s="268">
        <f>SUM(F233)</f>
        <v>10000</v>
      </c>
      <c r="G232" s="268">
        <v>20000</v>
      </c>
      <c r="H232" s="268">
        <v>10000</v>
      </c>
      <c r="I232" s="310">
        <f t="shared" si="30"/>
        <v>200</v>
      </c>
      <c r="J232" s="310">
        <f t="shared" si="30"/>
        <v>50</v>
      </c>
    </row>
    <row r="233" spans="1:10" s="163" customFormat="1" ht="15" x14ac:dyDescent="0.2">
      <c r="A233" s="145" t="s">
        <v>307</v>
      </c>
      <c r="B233" s="143"/>
      <c r="C233" s="143">
        <v>422</v>
      </c>
      <c r="D233" s="144" t="s">
        <v>99</v>
      </c>
      <c r="E233" s="103">
        <f>SUM(E234)</f>
        <v>0</v>
      </c>
      <c r="F233" s="268">
        <f>SUM(F234)</f>
        <v>10000</v>
      </c>
      <c r="G233" s="268"/>
      <c r="H233" s="268"/>
      <c r="I233" s="310">
        <f t="shared" si="30"/>
        <v>0</v>
      </c>
      <c r="J233" s="310"/>
    </row>
    <row r="234" spans="1:10" s="158" customFormat="1" ht="14.25" hidden="1" x14ac:dyDescent="0.2">
      <c r="A234" s="145" t="s">
        <v>307</v>
      </c>
      <c r="B234" s="145">
        <v>61</v>
      </c>
      <c r="C234" s="145">
        <v>4223</v>
      </c>
      <c r="D234" s="146" t="s">
        <v>112</v>
      </c>
      <c r="E234" s="107">
        <v>0</v>
      </c>
      <c r="F234" s="271">
        <v>10000</v>
      </c>
      <c r="G234" s="271"/>
      <c r="H234" s="271"/>
      <c r="I234" s="310">
        <f t="shared" si="30"/>
        <v>0</v>
      </c>
      <c r="J234" s="310"/>
    </row>
    <row r="235" spans="1:10" s="170" customFormat="1" x14ac:dyDescent="0.2">
      <c r="A235" s="166"/>
      <c r="B235" s="85"/>
      <c r="C235" s="166"/>
      <c r="D235" s="85"/>
      <c r="E235" s="166"/>
      <c r="F235" s="284"/>
      <c r="G235" s="284"/>
      <c r="H235" s="284"/>
      <c r="I235" s="235"/>
      <c r="J235" s="235"/>
    </row>
    <row r="236" spans="1:10" ht="15" x14ac:dyDescent="0.25">
      <c r="A236" s="108"/>
      <c r="B236" s="1"/>
      <c r="C236" s="187"/>
      <c r="D236" s="182" t="s">
        <v>214</v>
      </c>
      <c r="E236" s="96"/>
      <c r="F236" s="265"/>
      <c r="G236" s="265"/>
      <c r="H236" s="265"/>
      <c r="I236" s="237"/>
      <c r="J236" s="237"/>
    </row>
    <row r="237" spans="1:10" s="116" customFormat="1" ht="14.25" x14ac:dyDescent="0.2">
      <c r="C237" s="188"/>
      <c r="D237" s="218" t="s">
        <v>220</v>
      </c>
      <c r="E237" s="189"/>
      <c r="F237" s="292"/>
      <c r="G237" s="292"/>
      <c r="H237" s="292"/>
      <c r="I237" s="238"/>
      <c r="J237" s="238"/>
    </row>
    <row r="238" spans="1:10" ht="15" x14ac:dyDescent="0.25">
      <c r="A238" s="108"/>
      <c r="B238" s="1"/>
      <c r="C238" s="187"/>
      <c r="D238" s="786" t="s">
        <v>318</v>
      </c>
      <c r="E238" s="98"/>
      <c r="F238" s="266"/>
      <c r="G238" s="266"/>
      <c r="H238" s="266"/>
      <c r="I238" s="238"/>
      <c r="J238" s="238"/>
    </row>
    <row r="239" spans="1:10" s="1" customFormat="1" ht="15" x14ac:dyDescent="0.25">
      <c r="A239" s="104"/>
      <c r="C239" s="187"/>
      <c r="D239" s="787"/>
      <c r="E239" s="177">
        <f t="shared" ref="E239:H240" si="31">SUM(E240)</f>
        <v>0</v>
      </c>
      <c r="F239" s="260">
        <f t="shared" si="31"/>
        <v>5000</v>
      </c>
      <c r="G239" s="260">
        <f t="shared" si="31"/>
        <v>5000</v>
      </c>
      <c r="H239" s="260">
        <f t="shared" si="31"/>
        <v>5000</v>
      </c>
      <c r="I239" s="312">
        <f>AVERAGE(G239/F239*100)</f>
        <v>100</v>
      </c>
      <c r="J239" s="312">
        <f>AVERAGE(H239/G239*100)</f>
        <v>100</v>
      </c>
    </row>
    <row r="240" spans="1:10" s="163" customFormat="1" ht="15" x14ac:dyDescent="0.2">
      <c r="A240" s="145" t="s">
        <v>308</v>
      </c>
      <c r="B240" s="143"/>
      <c r="C240" s="143">
        <v>32</v>
      </c>
      <c r="D240" s="144" t="s">
        <v>180</v>
      </c>
      <c r="E240" s="103">
        <f t="shared" si="31"/>
        <v>0</v>
      </c>
      <c r="F240" s="268">
        <f t="shared" si="31"/>
        <v>5000</v>
      </c>
      <c r="G240" s="268">
        <v>5000</v>
      </c>
      <c r="H240" s="268">
        <v>5000</v>
      </c>
      <c r="I240" s="310">
        <f t="shared" ref="I240:J242" si="32">AVERAGE(G240/F240*100)</f>
        <v>100</v>
      </c>
      <c r="J240" s="310">
        <f t="shared" si="32"/>
        <v>100</v>
      </c>
    </row>
    <row r="241" spans="1:10" s="163" customFormat="1" ht="15" x14ac:dyDescent="0.2">
      <c r="A241" s="145" t="s">
        <v>308</v>
      </c>
      <c r="B241" s="143"/>
      <c r="C241" s="143">
        <v>323</v>
      </c>
      <c r="D241" s="144" t="s">
        <v>117</v>
      </c>
      <c r="E241" s="103">
        <f>SUM(E242:E242)</f>
        <v>0</v>
      </c>
      <c r="F241" s="268">
        <f>SUM(F242)</f>
        <v>5000</v>
      </c>
      <c r="G241" s="268"/>
      <c r="H241" s="268"/>
      <c r="I241" s="310">
        <f t="shared" si="32"/>
        <v>0</v>
      </c>
      <c r="J241" s="310"/>
    </row>
    <row r="242" spans="1:10" s="158" customFormat="1" ht="14.25" hidden="1" x14ac:dyDescent="0.2">
      <c r="A242" s="145" t="s">
        <v>308</v>
      </c>
      <c r="B242" s="145">
        <v>62</v>
      </c>
      <c r="C242" s="145">
        <v>3237</v>
      </c>
      <c r="D242" s="146" t="s">
        <v>221</v>
      </c>
      <c r="E242" s="107">
        <v>0</v>
      </c>
      <c r="F242" s="271">
        <v>5000</v>
      </c>
      <c r="G242" s="271"/>
      <c r="H242" s="271"/>
      <c r="I242" s="310">
        <f t="shared" si="32"/>
        <v>0</v>
      </c>
      <c r="J242" s="310"/>
    </row>
    <row r="243" spans="1:10" s="158" customFormat="1" ht="15" thickBot="1" x14ac:dyDescent="0.25">
      <c r="A243" s="152"/>
      <c r="B243" s="152"/>
      <c r="C243" s="152"/>
      <c r="D243" s="153"/>
      <c r="E243" s="111"/>
      <c r="F243" s="273"/>
      <c r="G243" s="273"/>
      <c r="H243" s="273"/>
      <c r="I243" s="232"/>
      <c r="J243" s="232"/>
    </row>
    <row r="244" spans="1:10" s="79" customFormat="1" ht="16.5" thickBot="1" x14ac:dyDescent="0.3">
      <c r="A244" s="789" t="s">
        <v>222</v>
      </c>
      <c r="B244" s="790"/>
      <c r="C244" s="790"/>
      <c r="D244" s="790"/>
      <c r="E244" s="91">
        <f>SUM(E248)</f>
        <v>10000</v>
      </c>
      <c r="F244" s="263">
        <f>SUM(F248)</f>
        <v>5000</v>
      </c>
      <c r="G244" s="263">
        <f>SUM(G248)</f>
        <v>5000</v>
      </c>
      <c r="H244" s="263">
        <f>SUM(H248)</f>
        <v>5000</v>
      </c>
      <c r="I244" s="228">
        <f>AVERAGE(G244/F244*100)</f>
        <v>100</v>
      </c>
      <c r="J244" s="228">
        <f>AVERAGE(H244/G244*100)</f>
        <v>100</v>
      </c>
    </row>
    <row r="245" spans="1:10" s="79" customFormat="1" ht="15.75" x14ac:dyDescent="0.25">
      <c r="A245" s="80"/>
      <c r="B245" s="80"/>
      <c r="C245" s="80"/>
      <c r="D245" s="80"/>
      <c r="E245" s="179"/>
      <c r="F245" s="289"/>
      <c r="G245" s="289"/>
      <c r="H245" s="289"/>
      <c r="I245" s="227"/>
      <c r="J245" s="227"/>
    </row>
    <row r="246" spans="1:10" ht="15" x14ac:dyDescent="0.25">
      <c r="B246" s="1"/>
      <c r="C246" s="187"/>
      <c r="D246" s="182" t="s">
        <v>223</v>
      </c>
      <c r="E246" s="96"/>
      <c r="F246" s="265"/>
      <c r="G246" s="265"/>
      <c r="H246" s="265"/>
      <c r="I246" s="237"/>
      <c r="J246" s="237"/>
    </row>
    <row r="247" spans="1:10" ht="14.25" customHeight="1" x14ac:dyDescent="0.25">
      <c r="B247" s="1"/>
      <c r="C247" s="187"/>
      <c r="D247" s="218" t="s">
        <v>217</v>
      </c>
      <c r="E247" s="98"/>
      <c r="F247" s="266"/>
      <c r="G247" s="266"/>
      <c r="H247" s="266"/>
      <c r="I247" s="238"/>
      <c r="J247" s="238"/>
    </row>
    <row r="248" spans="1:10" s="1" customFormat="1" ht="15" x14ac:dyDescent="0.25">
      <c r="C248" s="187"/>
      <c r="D248" s="252" t="s">
        <v>319</v>
      </c>
      <c r="E248" s="177">
        <f t="shared" ref="E248:H250" si="33">SUM(E249)</f>
        <v>10000</v>
      </c>
      <c r="F248" s="260">
        <f t="shared" si="33"/>
        <v>5000</v>
      </c>
      <c r="G248" s="260">
        <f t="shared" si="33"/>
        <v>5000</v>
      </c>
      <c r="H248" s="260">
        <f t="shared" si="33"/>
        <v>5000</v>
      </c>
      <c r="I248" s="312">
        <f>AVERAGE(G248/F248*100)</f>
        <v>100</v>
      </c>
      <c r="J248" s="312">
        <f>AVERAGE(H248/G248*100)</f>
        <v>100</v>
      </c>
    </row>
    <row r="249" spans="1:10" s="163" customFormat="1" ht="15" x14ac:dyDescent="0.2">
      <c r="A249" s="105" t="s">
        <v>293</v>
      </c>
      <c r="B249" s="143"/>
      <c r="C249" s="102">
        <v>36</v>
      </c>
      <c r="D249" s="144" t="s">
        <v>218</v>
      </c>
      <c r="E249" s="103">
        <f t="shared" si="33"/>
        <v>10000</v>
      </c>
      <c r="F249" s="268">
        <f t="shared" si="33"/>
        <v>5000</v>
      </c>
      <c r="G249" s="268">
        <v>5000</v>
      </c>
      <c r="H249" s="268">
        <v>5000</v>
      </c>
      <c r="I249" s="310">
        <f t="shared" ref="I249:J251" si="34">AVERAGE(G249/F249*100)</f>
        <v>100</v>
      </c>
      <c r="J249" s="310">
        <f t="shared" si="34"/>
        <v>100</v>
      </c>
    </row>
    <row r="250" spans="1:10" s="163" customFormat="1" ht="15" x14ac:dyDescent="0.2">
      <c r="A250" s="105" t="s">
        <v>293</v>
      </c>
      <c r="B250" s="143"/>
      <c r="C250" s="102">
        <v>363</v>
      </c>
      <c r="D250" s="144" t="s">
        <v>139</v>
      </c>
      <c r="E250" s="103">
        <f t="shared" si="33"/>
        <v>10000</v>
      </c>
      <c r="F250" s="268">
        <f t="shared" si="33"/>
        <v>5000</v>
      </c>
      <c r="G250" s="268"/>
      <c r="H250" s="268"/>
      <c r="I250" s="310">
        <f t="shared" si="34"/>
        <v>0</v>
      </c>
      <c r="J250" s="310"/>
    </row>
    <row r="251" spans="1:10" s="158" customFormat="1" ht="14.25" hidden="1" x14ac:dyDescent="0.2">
      <c r="A251" s="105" t="s">
        <v>293</v>
      </c>
      <c r="B251" s="145">
        <v>63</v>
      </c>
      <c r="C251" s="106">
        <v>3632</v>
      </c>
      <c r="D251" s="146" t="s">
        <v>224</v>
      </c>
      <c r="E251" s="107">
        <v>10000</v>
      </c>
      <c r="F251" s="271">
        <v>5000</v>
      </c>
      <c r="G251" s="271"/>
      <c r="H251" s="271"/>
      <c r="I251" s="310">
        <f t="shared" si="34"/>
        <v>0</v>
      </c>
      <c r="J251" s="310"/>
    </row>
    <row r="252" spans="1:10" s="158" customFormat="1" ht="15" thickBot="1" x14ac:dyDescent="0.25">
      <c r="A252" s="152"/>
      <c r="B252" s="152"/>
      <c r="C252" s="110"/>
      <c r="D252" s="153"/>
      <c r="E252" s="111"/>
      <c r="F252" s="273"/>
      <c r="G252" s="273"/>
      <c r="H252" s="273"/>
      <c r="I252" s="232"/>
      <c r="J252" s="232"/>
    </row>
    <row r="253" spans="1:10" s="190" customFormat="1" ht="17.25" thickBot="1" x14ac:dyDescent="0.3">
      <c r="A253" s="802" t="s">
        <v>281</v>
      </c>
      <c r="B253" s="803"/>
      <c r="C253" s="803"/>
      <c r="D253" s="803"/>
      <c r="E253" s="178">
        <f>SUM(E255+E267+E302+E313)</f>
        <v>381000</v>
      </c>
      <c r="F253" s="288">
        <f>SUM(F255+F267+F302+F313)</f>
        <v>480000</v>
      </c>
      <c r="G253" s="288">
        <f>SUM(G255+G267+G302+G313)</f>
        <v>380000</v>
      </c>
      <c r="H253" s="288">
        <f>SUM(H255+H267+H302+H313)</f>
        <v>375000</v>
      </c>
      <c r="I253" s="226">
        <f>AVERAGE(G253/F253*100)</f>
        <v>79.166666666666657</v>
      </c>
      <c r="J253" s="226">
        <f>AVERAGE(H253/G253*100)</f>
        <v>98.68421052631578</v>
      </c>
    </row>
    <row r="254" spans="1:10" ht="15.75" thickBot="1" x14ac:dyDescent="0.3">
      <c r="A254" s="108"/>
      <c r="B254" s="85"/>
      <c r="C254" s="166"/>
      <c r="D254" s="191"/>
      <c r="E254" s="175"/>
      <c r="F254" s="286"/>
      <c r="G254" s="286"/>
      <c r="H254" s="286"/>
      <c r="I254" s="227"/>
      <c r="J254" s="227"/>
    </row>
    <row r="255" spans="1:10" s="79" customFormat="1" ht="16.5" thickBot="1" x14ac:dyDescent="0.3">
      <c r="A255" s="789" t="s">
        <v>225</v>
      </c>
      <c r="B255" s="790"/>
      <c r="C255" s="790"/>
      <c r="D255" s="790"/>
      <c r="E255" s="91">
        <f>SUM(E259)</f>
        <v>115000</v>
      </c>
      <c r="F255" s="263">
        <f>SUM(F259)</f>
        <v>110000</v>
      </c>
      <c r="G255" s="263">
        <f>SUM(G259)</f>
        <v>120000</v>
      </c>
      <c r="H255" s="263">
        <f>SUM(H259)</f>
        <v>120000</v>
      </c>
      <c r="I255" s="228">
        <f>AVERAGE(G255/F255*100)</f>
        <v>109.09090909090908</v>
      </c>
      <c r="J255" s="228">
        <f>AVERAGE(H255/G255*100)</f>
        <v>100</v>
      </c>
    </row>
    <row r="256" spans="1:10" ht="15" x14ac:dyDescent="0.25">
      <c r="A256" s="108"/>
      <c r="B256" s="1"/>
      <c r="C256" s="187"/>
      <c r="D256" s="192"/>
      <c r="E256" s="175"/>
      <c r="F256" s="286"/>
      <c r="G256" s="286"/>
      <c r="H256" s="286"/>
      <c r="I256" s="227"/>
      <c r="J256" s="227"/>
    </row>
    <row r="257" spans="1:10" s="1" customFormat="1" ht="15" x14ac:dyDescent="0.25">
      <c r="A257" s="104"/>
      <c r="C257" s="187"/>
      <c r="D257" s="193" t="s">
        <v>234</v>
      </c>
      <c r="E257" s="96"/>
      <c r="F257" s="265"/>
      <c r="G257" s="265"/>
      <c r="H257" s="265"/>
      <c r="I257" s="240"/>
      <c r="J257" s="240"/>
    </row>
    <row r="258" spans="1:10" s="1" customFormat="1" ht="15" x14ac:dyDescent="0.25">
      <c r="A258" s="104"/>
      <c r="C258" s="187"/>
      <c r="D258" s="218" t="s">
        <v>209</v>
      </c>
      <c r="E258" s="98"/>
      <c r="F258" s="293"/>
      <c r="G258" s="266"/>
      <c r="H258" s="266"/>
      <c r="I258" s="241"/>
      <c r="J258" s="241"/>
    </row>
    <row r="259" spans="1:10" s="1" customFormat="1" ht="15" x14ac:dyDescent="0.25">
      <c r="A259" s="104"/>
      <c r="C259" s="187"/>
      <c r="D259" s="253" t="s">
        <v>320</v>
      </c>
      <c r="E259" s="177">
        <f>SUM(E260)</f>
        <v>115000</v>
      </c>
      <c r="F259" s="260">
        <f>SUM(F260)</f>
        <v>110000</v>
      </c>
      <c r="G259" s="260">
        <f>SUM(G260)</f>
        <v>120000</v>
      </c>
      <c r="H259" s="260">
        <f>SUM(H260)</f>
        <v>120000</v>
      </c>
      <c r="I259" s="312">
        <f>AVERAGE(G259/F259*100)</f>
        <v>109.09090909090908</v>
      </c>
      <c r="J259" s="312">
        <f>AVERAGE(H259/G259*100)</f>
        <v>100</v>
      </c>
    </row>
    <row r="260" spans="1:10" s="130" customFormat="1" ht="15" x14ac:dyDescent="0.2">
      <c r="A260" s="131" t="s">
        <v>292</v>
      </c>
      <c r="B260" s="101"/>
      <c r="C260" s="143">
        <v>38</v>
      </c>
      <c r="D260" s="144" t="s">
        <v>80</v>
      </c>
      <c r="E260" s="103">
        <f>SUM(E261+E264)</f>
        <v>115000</v>
      </c>
      <c r="F260" s="268">
        <f>SUM(F261+F264)</f>
        <v>110000</v>
      </c>
      <c r="G260" s="268">
        <v>120000</v>
      </c>
      <c r="H260" s="268">
        <v>120000</v>
      </c>
      <c r="I260" s="310">
        <f t="shared" ref="I260:J265" si="35">AVERAGE(G260/F260*100)</f>
        <v>109.09090909090908</v>
      </c>
      <c r="J260" s="310">
        <f t="shared" si="35"/>
        <v>100</v>
      </c>
    </row>
    <row r="261" spans="1:10" s="112" customFormat="1" ht="14.25" x14ac:dyDescent="0.2">
      <c r="A261" s="131" t="s">
        <v>292</v>
      </c>
      <c r="B261" s="101"/>
      <c r="C261" s="143">
        <v>381</v>
      </c>
      <c r="D261" s="144" t="s">
        <v>37</v>
      </c>
      <c r="E261" s="103">
        <f>SUM(E262:E263)</f>
        <v>105000</v>
      </c>
      <c r="F261" s="268">
        <f>SUM(F262:F263)</f>
        <v>105000</v>
      </c>
      <c r="G261" s="268"/>
      <c r="H261" s="268"/>
      <c r="I261" s="310">
        <f t="shared" si="35"/>
        <v>0</v>
      </c>
      <c r="J261" s="310"/>
    </row>
    <row r="262" spans="1:10" s="112" customFormat="1" ht="14.25" hidden="1" x14ac:dyDescent="0.2">
      <c r="A262" s="131" t="s">
        <v>292</v>
      </c>
      <c r="B262" s="105">
        <v>64</v>
      </c>
      <c r="C262" s="145">
        <v>38115</v>
      </c>
      <c r="D262" s="146" t="s">
        <v>84</v>
      </c>
      <c r="E262" s="107">
        <v>100000</v>
      </c>
      <c r="F262" s="271">
        <v>100000</v>
      </c>
      <c r="G262" s="271"/>
      <c r="H262" s="271"/>
      <c r="I262" s="310">
        <f t="shared" si="35"/>
        <v>0</v>
      </c>
      <c r="J262" s="310"/>
    </row>
    <row r="263" spans="1:10" s="112" customFormat="1" ht="14.25" hidden="1" x14ac:dyDescent="0.2">
      <c r="A263" s="131" t="s">
        <v>292</v>
      </c>
      <c r="B263" s="105">
        <v>65</v>
      </c>
      <c r="C263" s="145">
        <v>3812</v>
      </c>
      <c r="D263" s="146" t="s">
        <v>86</v>
      </c>
      <c r="E263" s="107">
        <v>5000</v>
      </c>
      <c r="F263" s="271">
        <v>5000</v>
      </c>
      <c r="G263" s="271"/>
      <c r="H263" s="271"/>
      <c r="I263" s="310">
        <f t="shared" si="35"/>
        <v>0</v>
      </c>
      <c r="J263" s="310"/>
    </row>
    <row r="264" spans="1:10" s="112" customFormat="1" ht="14.25" x14ac:dyDescent="0.2">
      <c r="A264" s="131" t="s">
        <v>292</v>
      </c>
      <c r="B264" s="101"/>
      <c r="C264" s="143">
        <v>382</v>
      </c>
      <c r="D264" s="144" t="s">
        <v>38</v>
      </c>
      <c r="E264" s="103">
        <f>SUM(E265)</f>
        <v>10000</v>
      </c>
      <c r="F264" s="268">
        <f>SUM(F265)</f>
        <v>5000</v>
      </c>
      <c r="G264" s="268"/>
      <c r="H264" s="268"/>
      <c r="I264" s="310">
        <f t="shared" si="35"/>
        <v>0</v>
      </c>
      <c r="J264" s="310"/>
    </row>
    <row r="265" spans="1:10" s="112" customFormat="1" ht="14.25" hidden="1" x14ac:dyDescent="0.2">
      <c r="A265" s="131" t="s">
        <v>292</v>
      </c>
      <c r="B265" s="105">
        <v>66</v>
      </c>
      <c r="C265" s="145">
        <v>38215</v>
      </c>
      <c r="D265" s="146" t="s">
        <v>121</v>
      </c>
      <c r="E265" s="107">
        <v>10000</v>
      </c>
      <c r="F265" s="271">
        <v>5000</v>
      </c>
      <c r="G265" s="271"/>
      <c r="H265" s="271"/>
      <c r="I265" s="310">
        <f t="shared" si="35"/>
        <v>0</v>
      </c>
      <c r="J265" s="310"/>
    </row>
    <row r="266" spans="1:10" s="112" customFormat="1" ht="15" thickBot="1" x14ac:dyDescent="0.25">
      <c r="A266" s="109"/>
      <c r="B266" s="109"/>
      <c r="C266" s="152"/>
      <c r="D266" s="153"/>
      <c r="E266" s="111"/>
      <c r="F266" s="273"/>
      <c r="G266" s="273"/>
      <c r="H266" s="273"/>
      <c r="I266" s="232"/>
      <c r="J266" s="232"/>
    </row>
    <row r="267" spans="1:10" s="79" customFormat="1" ht="16.5" thickBot="1" x14ac:dyDescent="0.3">
      <c r="A267" s="789" t="s">
        <v>226</v>
      </c>
      <c r="B267" s="790"/>
      <c r="C267" s="790"/>
      <c r="D267" s="790"/>
      <c r="E267" s="91">
        <f>SUM(E271+E283+E290)</f>
        <v>130000</v>
      </c>
      <c r="F267" s="263">
        <f>SUM(F271+F283+F290)</f>
        <v>188000</v>
      </c>
      <c r="G267" s="263">
        <f>SUM(G271+G283+G290)</f>
        <v>100000</v>
      </c>
      <c r="H267" s="263">
        <f>SUM(H271+H283+H290)</f>
        <v>105000</v>
      </c>
      <c r="I267" s="228">
        <f>AVERAGE(G267/F267*100)</f>
        <v>53.191489361702125</v>
      </c>
      <c r="J267" s="228">
        <f>AVERAGE(H267/G267*100)</f>
        <v>105</v>
      </c>
    </row>
    <row r="268" spans="1:10" s="79" customFormat="1" ht="15.75" x14ac:dyDescent="0.25">
      <c r="A268" s="80"/>
      <c r="B268" s="80"/>
      <c r="C268" s="80"/>
      <c r="D268" s="80"/>
      <c r="E268" s="179"/>
      <c r="F268" s="289"/>
      <c r="G268" s="289"/>
      <c r="H268" s="289"/>
      <c r="I268" s="227"/>
      <c r="J268" s="227"/>
    </row>
    <row r="269" spans="1:10" s="1" customFormat="1" ht="15" x14ac:dyDescent="0.25">
      <c r="A269" s="104"/>
      <c r="C269" s="187"/>
      <c r="D269" s="193" t="s">
        <v>227</v>
      </c>
      <c r="E269" s="96"/>
      <c r="F269" s="265"/>
      <c r="G269" s="265"/>
      <c r="H269" s="265"/>
      <c r="I269" s="229"/>
      <c r="J269" s="229"/>
    </row>
    <row r="270" spans="1:10" s="1" customFormat="1" ht="15" x14ac:dyDescent="0.25">
      <c r="A270" s="104"/>
      <c r="C270" s="187"/>
      <c r="D270" s="218" t="s">
        <v>209</v>
      </c>
      <c r="E270" s="98"/>
      <c r="F270" s="266"/>
      <c r="G270" s="266"/>
      <c r="H270" s="266"/>
      <c r="I270" s="230"/>
      <c r="J270" s="230"/>
    </row>
    <row r="271" spans="1:10" s="1" customFormat="1" ht="15" x14ac:dyDescent="0.25">
      <c r="A271" s="104"/>
      <c r="C271" s="187"/>
      <c r="D271" s="253" t="s">
        <v>321</v>
      </c>
      <c r="E271" s="177">
        <f>SUM(E272+E275)</f>
        <v>30000</v>
      </c>
      <c r="F271" s="260">
        <f>SUM(F272+F275)</f>
        <v>60000</v>
      </c>
      <c r="G271" s="260">
        <f>SUM(G272+G275)</f>
        <v>70000</v>
      </c>
      <c r="H271" s="260">
        <f>SUM(H272+H275)</f>
        <v>75000</v>
      </c>
      <c r="I271" s="312">
        <f>AVERAGE(G271/F271*100)</f>
        <v>116.66666666666667</v>
      </c>
      <c r="J271" s="312">
        <f>AVERAGE(H271/G271*100)</f>
        <v>107.14285714285714</v>
      </c>
    </row>
    <row r="272" spans="1:10" s="130" customFormat="1" ht="15" x14ac:dyDescent="0.2">
      <c r="A272" s="105" t="s">
        <v>293</v>
      </c>
      <c r="B272" s="101"/>
      <c r="C272" s="143">
        <v>32</v>
      </c>
      <c r="D272" s="101" t="s">
        <v>180</v>
      </c>
      <c r="E272" s="103">
        <f>SUM(E273)</f>
        <v>0</v>
      </c>
      <c r="F272" s="268">
        <f>SUM(F273)</f>
        <v>10000</v>
      </c>
      <c r="G272" s="268">
        <v>15000</v>
      </c>
      <c r="H272" s="268">
        <v>15000</v>
      </c>
      <c r="I272" s="310">
        <f t="shared" ref="I272:J279" si="36">AVERAGE(G272/F272*100)</f>
        <v>150</v>
      </c>
      <c r="J272" s="310">
        <f t="shared" si="36"/>
        <v>100</v>
      </c>
    </row>
    <row r="273" spans="1:10" s="112" customFormat="1" ht="14.25" x14ac:dyDescent="0.2">
      <c r="A273" s="105" t="s">
        <v>293</v>
      </c>
      <c r="B273" s="101"/>
      <c r="C273" s="143">
        <v>329</v>
      </c>
      <c r="D273" s="101" t="s">
        <v>65</v>
      </c>
      <c r="E273" s="103">
        <f>SUM(E274)</f>
        <v>0</v>
      </c>
      <c r="F273" s="268">
        <f>SUM(F274)</f>
        <v>10000</v>
      </c>
      <c r="G273" s="268"/>
      <c r="H273" s="268"/>
      <c r="I273" s="310">
        <f t="shared" si="36"/>
        <v>0</v>
      </c>
      <c r="J273" s="310"/>
    </row>
    <row r="274" spans="1:10" s="112" customFormat="1" ht="14.25" hidden="1" x14ac:dyDescent="0.2">
      <c r="A274" s="105" t="s">
        <v>293</v>
      </c>
      <c r="B274" s="105">
        <v>67</v>
      </c>
      <c r="C274" s="145">
        <v>3293</v>
      </c>
      <c r="D274" s="105" t="s">
        <v>68</v>
      </c>
      <c r="E274" s="107">
        <v>0</v>
      </c>
      <c r="F274" s="271">
        <v>10000</v>
      </c>
      <c r="G274" s="271"/>
      <c r="H274" s="271"/>
      <c r="I274" s="310">
        <f t="shared" si="36"/>
        <v>0</v>
      </c>
      <c r="J274" s="310"/>
    </row>
    <row r="275" spans="1:10" s="130" customFormat="1" ht="15" x14ac:dyDescent="0.2">
      <c r="A275" s="105" t="s">
        <v>293</v>
      </c>
      <c r="B275" s="101"/>
      <c r="C275" s="143">
        <v>38</v>
      </c>
      <c r="D275" s="144" t="s">
        <v>80</v>
      </c>
      <c r="E275" s="103">
        <f>SUM(E276+E278)</f>
        <v>30000</v>
      </c>
      <c r="F275" s="268">
        <f>SUM(F276+F278)</f>
        <v>50000</v>
      </c>
      <c r="G275" s="268">
        <v>55000</v>
      </c>
      <c r="H275" s="268">
        <v>60000</v>
      </c>
      <c r="I275" s="310">
        <f t="shared" si="36"/>
        <v>110.00000000000001</v>
      </c>
      <c r="J275" s="310">
        <f t="shared" si="36"/>
        <v>109.09090909090908</v>
      </c>
    </row>
    <row r="276" spans="1:10" s="112" customFormat="1" ht="14.25" x14ac:dyDescent="0.2">
      <c r="A276" s="105" t="s">
        <v>293</v>
      </c>
      <c r="B276" s="101"/>
      <c r="C276" s="143">
        <v>381</v>
      </c>
      <c r="D276" s="144" t="s">
        <v>37</v>
      </c>
      <c r="E276" s="103">
        <f>SUM(E277:E277)</f>
        <v>0</v>
      </c>
      <c r="F276" s="268">
        <f>SUM(F277)</f>
        <v>40000</v>
      </c>
      <c r="G276" s="268"/>
      <c r="H276" s="268"/>
      <c r="I276" s="310">
        <f t="shared" si="36"/>
        <v>0</v>
      </c>
      <c r="J276" s="310"/>
    </row>
    <row r="277" spans="1:10" s="112" customFormat="1" ht="14.25" hidden="1" x14ac:dyDescent="0.2">
      <c r="A277" s="105" t="s">
        <v>293</v>
      </c>
      <c r="B277" s="105">
        <v>68</v>
      </c>
      <c r="C277" s="145">
        <v>3811</v>
      </c>
      <c r="D277" s="146" t="s">
        <v>81</v>
      </c>
      <c r="E277" s="107">
        <v>0</v>
      </c>
      <c r="F277" s="271">
        <v>40000</v>
      </c>
      <c r="G277" s="271"/>
      <c r="H277" s="271"/>
      <c r="I277" s="310">
        <f t="shared" si="36"/>
        <v>0</v>
      </c>
      <c r="J277" s="310"/>
    </row>
    <row r="278" spans="1:10" s="112" customFormat="1" ht="14.25" x14ac:dyDescent="0.2">
      <c r="A278" s="105" t="s">
        <v>293</v>
      </c>
      <c r="B278" s="101"/>
      <c r="C278" s="143">
        <v>382</v>
      </c>
      <c r="D278" s="144" t="s">
        <v>38</v>
      </c>
      <c r="E278" s="103">
        <f>SUM(E279:E279)</f>
        <v>30000</v>
      </c>
      <c r="F278" s="268">
        <f>SUM(F279:F279)</f>
        <v>10000</v>
      </c>
      <c r="G278" s="268"/>
      <c r="H278" s="268"/>
      <c r="I278" s="231">
        <f t="shared" si="36"/>
        <v>0</v>
      </c>
      <c r="J278" s="231"/>
    </row>
    <row r="279" spans="1:10" s="112" customFormat="1" ht="14.25" hidden="1" x14ac:dyDescent="0.2">
      <c r="A279" s="105" t="s">
        <v>293</v>
      </c>
      <c r="B279" s="105">
        <v>69</v>
      </c>
      <c r="C279" s="145">
        <v>38219</v>
      </c>
      <c r="D279" s="146" t="s">
        <v>229</v>
      </c>
      <c r="E279" s="107">
        <v>30000</v>
      </c>
      <c r="F279" s="271">
        <v>10000</v>
      </c>
      <c r="G279" s="271"/>
      <c r="H279" s="271"/>
      <c r="I279" s="231">
        <f t="shared" si="36"/>
        <v>0</v>
      </c>
      <c r="J279" s="231"/>
    </row>
    <row r="280" spans="1:10" s="112" customFormat="1" ht="14.25" x14ac:dyDescent="0.2">
      <c r="A280" s="109"/>
      <c r="B280" s="109"/>
      <c r="C280" s="152"/>
      <c r="D280" s="316"/>
      <c r="E280" s="317"/>
      <c r="F280" s="318"/>
      <c r="G280" s="318"/>
      <c r="H280" s="318"/>
      <c r="I280" s="319"/>
      <c r="J280" s="319"/>
    </row>
    <row r="281" spans="1:10" s="112" customFormat="1" ht="15" x14ac:dyDescent="0.25">
      <c r="A281" s="104"/>
      <c r="B281" s="104"/>
      <c r="C281" s="104"/>
      <c r="D281" s="193" t="s">
        <v>227</v>
      </c>
      <c r="E281" s="121"/>
      <c r="F281" s="266"/>
      <c r="G281" s="266"/>
      <c r="H281" s="266"/>
      <c r="I281" s="230"/>
      <c r="J281" s="230"/>
    </row>
    <row r="282" spans="1:10" s="112" customFormat="1" ht="15" x14ac:dyDescent="0.25">
      <c r="A282" s="104"/>
      <c r="B282" s="104"/>
      <c r="C282" s="104"/>
      <c r="D282" s="218" t="s">
        <v>209</v>
      </c>
      <c r="E282" s="121"/>
      <c r="F282" s="266"/>
      <c r="G282" s="266"/>
      <c r="H282" s="266"/>
      <c r="I282" s="230"/>
      <c r="J282" s="230"/>
    </row>
    <row r="283" spans="1:10" s="1" customFormat="1" ht="15" x14ac:dyDescent="0.25">
      <c r="A283" s="156"/>
      <c r="B283" s="156"/>
      <c r="C283" s="156"/>
      <c r="D283" s="252" t="s">
        <v>322</v>
      </c>
      <c r="E283" s="157">
        <f t="shared" ref="E283:H285" si="37">SUM(E284)</f>
        <v>100000</v>
      </c>
      <c r="F283" s="267">
        <f t="shared" si="37"/>
        <v>100000</v>
      </c>
      <c r="G283" s="267">
        <f t="shared" si="37"/>
        <v>0</v>
      </c>
      <c r="H283" s="267">
        <f t="shared" si="37"/>
        <v>0</v>
      </c>
      <c r="I283" s="312">
        <f>AVERAGE(G283/F283*100)</f>
        <v>0</v>
      </c>
      <c r="J283" s="312">
        <v>0</v>
      </c>
    </row>
    <row r="284" spans="1:10" s="1" customFormat="1" x14ac:dyDescent="0.2">
      <c r="A284" s="105" t="s">
        <v>311</v>
      </c>
      <c r="B284" s="101"/>
      <c r="C284" s="143">
        <v>42</v>
      </c>
      <c r="D284" s="144" t="s">
        <v>96</v>
      </c>
      <c r="E284" s="103">
        <f t="shared" si="37"/>
        <v>100000</v>
      </c>
      <c r="F284" s="268">
        <f t="shared" si="37"/>
        <v>100000</v>
      </c>
      <c r="G284" s="268">
        <f t="shared" si="37"/>
        <v>0</v>
      </c>
      <c r="H284" s="268">
        <f t="shared" si="37"/>
        <v>0</v>
      </c>
      <c r="I284" s="310">
        <f>AVERAGE(G284/F284*100)</f>
        <v>0</v>
      </c>
      <c r="J284" s="310"/>
    </row>
    <row r="285" spans="1:10" s="1" customFormat="1" x14ac:dyDescent="0.2">
      <c r="A285" s="105" t="s">
        <v>311</v>
      </c>
      <c r="B285" s="101"/>
      <c r="C285" s="143">
        <v>426</v>
      </c>
      <c r="D285" s="144" t="s">
        <v>117</v>
      </c>
      <c r="E285" s="103">
        <f t="shared" si="37"/>
        <v>100000</v>
      </c>
      <c r="F285" s="268">
        <f t="shared" si="37"/>
        <v>100000</v>
      </c>
      <c r="G285" s="268"/>
      <c r="H285" s="268"/>
      <c r="I285" s="310">
        <f>AVERAGE(G285/F285*100)</f>
        <v>0</v>
      </c>
      <c r="J285" s="310"/>
    </row>
    <row r="286" spans="1:10" s="1" customFormat="1" ht="15" hidden="1" customHeight="1" x14ac:dyDescent="0.2">
      <c r="A286" s="105" t="s">
        <v>311</v>
      </c>
      <c r="B286" s="105">
        <v>70</v>
      </c>
      <c r="C286" s="145">
        <v>4263</v>
      </c>
      <c r="D286" s="146" t="s">
        <v>264</v>
      </c>
      <c r="E286" s="107">
        <v>100000</v>
      </c>
      <c r="F286" s="271">
        <v>100000</v>
      </c>
      <c r="G286" s="271"/>
      <c r="H286" s="271"/>
      <c r="I286" s="310">
        <f>AVERAGE(G286/F286*100)</f>
        <v>0</v>
      </c>
      <c r="J286" s="310"/>
    </row>
    <row r="287" spans="1:10" s="112" customFormat="1" ht="14.25" x14ac:dyDescent="0.2">
      <c r="A287" s="109"/>
      <c r="B287" s="109"/>
      <c r="C287" s="152"/>
      <c r="D287" s="153"/>
      <c r="E287" s="111"/>
      <c r="F287" s="273"/>
      <c r="G287" s="273"/>
      <c r="H287" s="273"/>
      <c r="I287" s="232"/>
      <c r="J287" s="232"/>
    </row>
    <row r="288" spans="1:10" s="1" customFormat="1" ht="15" x14ac:dyDescent="0.25">
      <c r="A288" s="104"/>
      <c r="C288" s="187"/>
      <c r="D288" s="193" t="s">
        <v>227</v>
      </c>
      <c r="E288" s="96"/>
      <c r="F288" s="265"/>
      <c r="G288" s="265"/>
      <c r="H288" s="265"/>
      <c r="I288" s="229"/>
      <c r="J288" s="229"/>
    </row>
    <row r="289" spans="1:10" s="1" customFormat="1" ht="15" x14ac:dyDescent="0.25">
      <c r="A289" s="104"/>
      <c r="C289" s="187"/>
      <c r="D289" s="218" t="s">
        <v>230</v>
      </c>
      <c r="E289" s="98"/>
      <c r="F289" s="266"/>
      <c r="G289" s="266"/>
      <c r="H289" s="266"/>
      <c r="I289" s="230"/>
      <c r="J289" s="230"/>
    </row>
    <row r="290" spans="1:10" s="1" customFormat="1" ht="15" x14ac:dyDescent="0.25">
      <c r="A290" s="104"/>
      <c r="C290" s="187"/>
      <c r="D290" s="252" t="s">
        <v>323</v>
      </c>
      <c r="E290" s="177">
        <f>SUM(E291+E298)</f>
        <v>0</v>
      </c>
      <c r="F290" s="260">
        <f>SUM(F291+F298)</f>
        <v>28000</v>
      </c>
      <c r="G290" s="260">
        <f>SUM(G291+G298)</f>
        <v>30000</v>
      </c>
      <c r="H290" s="260">
        <f>SUM(H291+H298)</f>
        <v>30000</v>
      </c>
      <c r="I290" s="312">
        <f>AVERAGE(G290/F290*100)</f>
        <v>107.14285714285714</v>
      </c>
      <c r="J290" s="312">
        <f>AVERAGE(H290/G290*100)</f>
        <v>100</v>
      </c>
    </row>
    <row r="291" spans="1:10" s="130" customFormat="1" ht="15" x14ac:dyDescent="0.2">
      <c r="A291" s="105" t="s">
        <v>312</v>
      </c>
      <c r="B291" s="101"/>
      <c r="C291" s="143">
        <v>32</v>
      </c>
      <c r="D291" s="144" t="s">
        <v>180</v>
      </c>
      <c r="E291" s="103">
        <f>SUM(E292+E295)</f>
        <v>0</v>
      </c>
      <c r="F291" s="268">
        <f>SUM(F292+F295)</f>
        <v>24000</v>
      </c>
      <c r="G291" s="268">
        <v>25000</v>
      </c>
      <c r="H291" s="268">
        <v>25000</v>
      </c>
      <c r="I291" s="310">
        <f t="shared" ref="I291:J300" si="38">AVERAGE(G291/F291*100)</f>
        <v>104.16666666666667</v>
      </c>
      <c r="J291" s="310">
        <f t="shared" si="38"/>
        <v>100</v>
      </c>
    </row>
    <row r="292" spans="1:10" s="130" customFormat="1" ht="15" x14ac:dyDescent="0.2">
      <c r="A292" s="105" t="s">
        <v>312</v>
      </c>
      <c r="B292" s="101"/>
      <c r="C292" s="143">
        <v>323</v>
      </c>
      <c r="D292" s="144" t="s">
        <v>56</v>
      </c>
      <c r="E292" s="103">
        <f>SUM(E293:E294)</f>
        <v>0</v>
      </c>
      <c r="F292" s="268">
        <f>SUM(F293:F294)</f>
        <v>7000</v>
      </c>
      <c r="G292" s="268"/>
      <c r="H292" s="268"/>
      <c r="I292" s="310">
        <f t="shared" si="38"/>
        <v>0</v>
      </c>
      <c r="J292" s="310"/>
    </row>
    <row r="293" spans="1:10" s="112" customFormat="1" ht="14.25" hidden="1" x14ac:dyDescent="0.2">
      <c r="A293" s="105" t="s">
        <v>312</v>
      </c>
      <c r="B293" s="105">
        <v>71</v>
      </c>
      <c r="C293" s="145">
        <v>3233</v>
      </c>
      <c r="D293" s="146" t="s">
        <v>59</v>
      </c>
      <c r="E293" s="107">
        <v>0</v>
      </c>
      <c r="F293" s="271">
        <v>5000</v>
      </c>
      <c r="G293" s="271"/>
      <c r="H293" s="271"/>
      <c r="I293" s="310">
        <f t="shared" si="38"/>
        <v>0</v>
      </c>
      <c r="J293" s="310"/>
    </row>
    <row r="294" spans="1:10" s="112" customFormat="1" ht="14.25" hidden="1" x14ac:dyDescent="0.2">
      <c r="A294" s="105" t="s">
        <v>312</v>
      </c>
      <c r="B294" s="105">
        <v>72</v>
      </c>
      <c r="C294" s="145">
        <v>3239</v>
      </c>
      <c r="D294" s="146" t="s">
        <v>64</v>
      </c>
      <c r="E294" s="107">
        <v>0</v>
      </c>
      <c r="F294" s="271">
        <v>2000</v>
      </c>
      <c r="G294" s="271"/>
      <c r="H294" s="271"/>
      <c r="I294" s="310">
        <f t="shared" si="38"/>
        <v>0</v>
      </c>
      <c r="J294" s="310"/>
    </row>
    <row r="295" spans="1:10" s="130" customFormat="1" ht="15" x14ac:dyDescent="0.2">
      <c r="A295" s="105" t="s">
        <v>312</v>
      </c>
      <c r="B295" s="101"/>
      <c r="C295" s="143">
        <v>329</v>
      </c>
      <c r="D295" s="144" t="s">
        <v>65</v>
      </c>
      <c r="E295" s="103">
        <f>SUM(E296:E297)</f>
        <v>0</v>
      </c>
      <c r="F295" s="268">
        <f>SUM(F296:F297)</f>
        <v>17000</v>
      </c>
      <c r="G295" s="268"/>
      <c r="H295" s="268"/>
      <c r="I295" s="310">
        <f t="shared" si="38"/>
        <v>0</v>
      </c>
      <c r="J295" s="310"/>
    </row>
    <row r="296" spans="1:10" s="112" customFormat="1" ht="14.25" hidden="1" x14ac:dyDescent="0.2">
      <c r="A296" s="105" t="s">
        <v>312</v>
      </c>
      <c r="B296" s="105">
        <v>73</v>
      </c>
      <c r="C296" s="145">
        <v>3293</v>
      </c>
      <c r="D296" s="146" t="s">
        <v>68</v>
      </c>
      <c r="E296" s="107">
        <v>0</v>
      </c>
      <c r="F296" s="271">
        <v>15000</v>
      </c>
      <c r="G296" s="271"/>
      <c r="H296" s="271"/>
      <c r="I296" s="310">
        <f t="shared" si="38"/>
        <v>0</v>
      </c>
      <c r="J296" s="310"/>
    </row>
    <row r="297" spans="1:10" s="112" customFormat="1" ht="14.25" hidden="1" x14ac:dyDescent="0.2">
      <c r="A297" s="105" t="s">
        <v>312</v>
      </c>
      <c r="B297" s="105">
        <v>74</v>
      </c>
      <c r="C297" s="145">
        <v>3299</v>
      </c>
      <c r="D297" s="146" t="s">
        <v>231</v>
      </c>
      <c r="E297" s="107">
        <v>0</v>
      </c>
      <c r="F297" s="271">
        <v>2000</v>
      </c>
      <c r="G297" s="271"/>
      <c r="H297" s="271"/>
      <c r="I297" s="310">
        <f t="shared" si="38"/>
        <v>0</v>
      </c>
      <c r="J297" s="310"/>
    </row>
    <row r="298" spans="1:10" s="130" customFormat="1" ht="15" x14ac:dyDescent="0.2">
      <c r="A298" s="105" t="s">
        <v>312</v>
      </c>
      <c r="B298" s="101"/>
      <c r="C298" s="143">
        <v>38</v>
      </c>
      <c r="D298" s="144" t="s">
        <v>232</v>
      </c>
      <c r="E298" s="103">
        <f>SUM(E299)</f>
        <v>0</v>
      </c>
      <c r="F298" s="268">
        <f>SUM(F299)</f>
        <v>4000</v>
      </c>
      <c r="G298" s="268">
        <v>5000</v>
      </c>
      <c r="H298" s="268">
        <v>5000</v>
      </c>
      <c r="I298" s="310">
        <f t="shared" si="38"/>
        <v>125</v>
      </c>
      <c r="J298" s="310">
        <f t="shared" si="38"/>
        <v>100</v>
      </c>
    </row>
    <row r="299" spans="1:10" s="112" customFormat="1" ht="14.25" x14ac:dyDescent="0.2">
      <c r="A299" s="105" t="s">
        <v>312</v>
      </c>
      <c r="B299" s="101"/>
      <c r="C299" s="143">
        <v>381</v>
      </c>
      <c r="D299" s="144" t="s">
        <v>37</v>
      </c>
      <c r="E299" s="103">
        <f>SUM(E300)</f>
        <v>0</v>
      </c>
      <c r="F299" s="268">
        <f>SUM(F300)</f>
        <v>4000</v>
      </c>
      <c r="G299" s="268"/>
      <c r="H299" s="268"/>
      <c r="I299" s="310">
        <f t="shared" si="38"/>
        <v>0</v>
      </c>
      <c r="J299" s="310"/>
    </row>
    <row r="300" spans="1:10" s="112" customFormat="1" ht="14.25" hidden="1" x14ac:dyDescent="0.2">
      <c r="A300" s="105" t="s">
        <v>312</v>
      </c>
      <c r="B300" s="105">
        <v>75</v>
      </c>
      <c r="C300" s="145">
        <v>3811</v>
      </c>
      <c r="D300" s="146" t="s">
        <v>85</v>
      </c>
      <c r="E300" s="107">
        <v>0</v>
      </c>
      <c r="F300" s="271">
        <v>4000</v>
      </c>
      <c r="G300" s="271"/>
      <c r="H300" s="271"/>
      <c r="I300" s="310">
        <f t="shared" si="38"/>
        <v>0</v>
      </c>
      <c r="J300" s="310"/>
    </row>
    <row r="301" spans="1:10" s="170" customFormat="1" ht="13.5" thickBot="1" x14ac:dyDescent="0.25">
      <c r="A301" s="166"/>
      <c r="B301" s="85"/>
      <c r="C301" s="166"/>
      <c r="D301" s="85"/>
      <c r="E301" s="166"/>
      <c r="F301" s="284"/>
      <c r="G301" s="284"/>
      <c r="H301" s="284"/>
      <c r="I301" s="235"/>
      <c r="J301" s="235"/>
    </row>
    <row r="302" spans="1:10" s="79" customFormat="1" ht="16.5" thickBot="1" x14ac:dyDescent="0.3">
      <c r="A302" s="800" t="s">
        <v>233</v>
      </c>
      <c r="B302" s="801"/>
      <c r="C302" s="801"/>
      <c r="D302" s="801"/>
      <c r="E302" s="91">
        <f>SUM(E306)</f>
        <v>52000</v>
      </c>
      <c r="F302" s="263">
        <f>SUM(F306)</f>
        <v>102000</v>
      </c>
      <c r="G302" s="263">
        <f>SUM(G306)</f>
        <v>80000</v>
      </c>
      <c r="H302" s="263">
        <f>SUM(H306)</f>
        <v>70000</v>
      </c>
      <c r="I302" s="228">
        <f>AVERAGE(G302/F302*100)</f>
        <v>78.431372549019613</v>
      </c>
      <c r="J302" s="228">
        <f>AVERAGE(H302/G302*100)</f>
        <v>87.5</v>
      </c>
    </row>
    <row r="303" spans="1:10" s="79" customFormat="1" ht="15.75" x14ac:dyDescent="0.25">
      <c r="A303" s="194"/>
      <c r="B303" s="194"/>
      <c r="C303" s="194"/>
      <c r="D303" s="194"/>
      <c r="E303" s="179"/>
      <c r="F303" s="289"/>
      <c r="G303" s="289"/>
      <c r="H303" s="289"/>
      <c r="I303" s="227"/>
      <c r="J303" s="227"/>
    </row>
    <row r="304" spans="1:10" s="1" customFormat="1" ht="15" x14ac:dyDescent="0.25">
      <c r="A304" s="104"/>
      <c r="C304" s="187"/>
      <c r="D304" s="193" t="s">
        <v>234</v>
      </c>
      <c r="E304" s="96"/>
      <c r="F304" s="265"/>
      <c r="G304" s="265"/>
      <c r="H304" s="265"/>
      <c r="I304" s="229"/>
      <c r="J304" s="229"/>
    </row>
    <row r="305" spans="1:10" s="1" customFormat="1" ht="15" x14ac:dyDescent="0.25">
      <c r="A305" s="104"/>
      <c r="C305" s="187"/>
      <c r="D305" s="218" t="s">
        <v>209</v>
      </c>
      <c r="E305" s="98"/>
      <c r="F305" s="266"/>
      <c r="G305" s="266"/>
      <c r="H305" s="266"/>
      <c r="I305" s="230"/>
      <c r="J305" s="230"/>
    </row>
    <row r="306" spans="1:10" s="1" customFormat="1" ht="15" x14ac:dyDescent="0.25">
      <c r="A306" s="104"/>
      <c r="C306" s="187"/>
      <c r="D306" s="253" t="s">
        <v>324</v>
      </c>
      <c r="E306" s="177">
        <f>SUM(E307)</f>
        <v>52000</v>
      </c>
      <c r="F306" s="260">
        <f>SUM(F307)</f>
        <v>102000</v>
      </c>
      <c r="G306" s="260">
        <f>SUM(G307)</f>
        <v>80000</v>
      </c>
      <c r="H306" s="260">
        <f>SUM(H307)</f>
        <v>70000</v>
      </c>
      <c r="I306" s="312">
        <f>AVERAGE(G306/F306*100)</f>
        <v>78.431372549019613</v>
      </c>
      <c r="J306" s="312">
        <f>AVERAGE(H306/G306*100)</f>
        <v>87.5</v>
      </c>
    </row>
    <row r="307" spans="1:10" s="130" customFormat="1" ht="15" x14ac:dyDescent="0.2">
      <c r="A307" s="105" t="s">
        <v>313</v>
      </c>
      <c r="B307" s="101"/>
      <c r="C307" s="143">
        <v>38</v>
      </c>
      <c r="D307" s="144" t="s">
        <v>80</v>
      </c>
      <c r="E307" s="103">
        <f>SUM(E308+E310)</f>
        <v>52000</v>
      </c>
      <c r="F307" s="268">
        <f>SUM(F308+F310)</f>
        <v>102000</v>
      </c>
      <c r="G307" s="268">
        <v>80000</v>
      </c>
      <c r="H307" s="268">
        <v>70000</v>
      </c>
      <c r="I307" s="310">
        <f t="shared" ref="I307:J311" si="39">AVERAGE(G307/F307*100)</f>
        <v>78.431372549019613</v>
      </c>
      <c r="J307" s="310">
        <f t="shared" si="39"/>
        <v>87.5</v>
      </c>
    </row>
    <row r="308" spans="1:10" s="112" customFormat="1" ht="14.25" x14ac:dyDescent="0.2">
      <c r="A308" s="105" t="s">
        <v>313</v>
      </c>
      <c r="B308" s="101"/>
      <c r="C308" s="143">
        <v>381</v>
      </c>
      <c r="D308" s="144" t="s">
        <v>37</v>
      </c>
      <c r="E308" s="103">
        <f>SUM(E309)</f>
        <v>2000</v>
      </c>
      <c r="F308" s="268">
        <f>SUM(F309)</f>
        <v>2000</v>
      </c>
      <c r="G308" s="268"/>
      <c r="H308" s="268"/>
      <c r="I308" s="310">
        <f t="shared" si="39"/>
        <v>0</v>
      </c>
      <c r="J308" s="310"/>
    </row>
    <row r="309" spans="1:10" s="112" customFormat="1" ht="14.25" hidden="1" x14ac:dyDescent="0.2">
      <c r="A309" s="105" t="s">
        <v>313</v>
      </c>
      <c r="B309" s="105">
        <v>76</v>
      </c>
      <c r="C309" s="145">
        <v>38112</v>
      </c>
      <c r="D309" s="146" t="s">
        <v>82</v>
      </c>
      <c r="E309" s="107">
        <v>2000</v>
      </c>
      <c r="F309" s="271">
        <v>2000</v>
      </c>
      <c r="G309" s="271"/>
      <c r="H309" s="271"/>
      <c r="I309" s="310">
        <f t="shared" si="39"/>
        <v>0</v>
      </c>
      <c r="J309" s="310"/>
    </row>
    <row r="310" spans="1:10" s="130" customFormat="1" ht="15" x14ac:dyDescent="0.2">
      <c r="A310" s="105" t="s">
        <v>313</v>
      </c>
      <c r="B310" s="101"/>
      <c r="C310" s="143">
        <v>382</v>
      </c>
      <c r="D310" s="144" t="s">
        <v>38</v>
      </c>
      <c r="E310" s="103">
        <f>SUM(E311)</f>
        <v>50000</v>
      </c>
      <c r="F310" s="268">
        <f>SUM(F311)</f>
        <v>100000</v>
      </c>
      <c r="G310" s="268"/>
      <c r="H310" s="268"/>
      <c r="I310" s="310">
        <f t="shared" si="39"/>
        <v>0</v>
      </c>
      <c r="J310" s="310"/>
    </row>
    <row r="311" spans="1:10" s="112" customFormat="1" ht="14.25" hidden="1" x14ac:dyDescent="0.2">
      <c r="A311" s="105" t="s">
        <v>313</v>
      </c>
      <c r="B311" s="105">
        <v>77</v>
      </c>
      <c r="C311" s="145">
        <v>38212</v>
      </c>
      <c r="D311" s="146" t="s">
        <v>235</v>
      </c>
      <c r="E311" s="107">
        <v>50000</v>
      </c>
      <c r="F311" s="271">
        <v>100000</v>
      </c>
      <c r="G311" s="271"/>
      <c r="H311" s="271"/>
      <c r="I311" s="310">
        <f t="shared" si="39"/>
        <v>0</v>
      </c>
      <c r="J311" s="310"/>
    </row>
    <row r="312" spans="1:10" s="112" customFormat="1" ht="15" thickBot="1" x14ac:dyDescent="0.25">
      <c r="A312" s="109"/>
      <c r="B312" s="109"/>
      <c r="C312" s="152"/>
      <c r="D312" s="153"/>
      <c r="E312" s="111"/>
      <c r="F312" s="273"/>
      <c r="G312" s="273"/>
      <c r="H312" s="273"/>
      <c r="I312" s="232"/>
      <c r="J312" s="232"/>
    </row>
    <row r="313" spans="1:10" s="79" customFormat="1" ht="16.5" thickBot="1" x14ac:dyDescent="0.3">
      <c r="A313" s="800" t="s">
        <v>236</v>
      </c>
      <c r="B313" s="801"/>
      <c r="C313" s="801"/>
      <c r="D313" s="801"/>
      <c r="E313" s="91">
        <f>SUM(E317)</f>
        <v>84000</v>
      </c>
      <c r="F313" s="263">
        <f>SUM(F317)</f>
        <v>80000</v>
      </c>
      <c r="G313" s="263">
        <f>SUM(G317)</f>
        <v>80000</v>
      </c>
      <c r="H313" s="263">
        <f>SUM(H317)</f>
        <v>80000</v>
      </c>
      <c r="I313" s="228">
        <f>AVERAGE(G313/F313*100)</f>
        <v>100</v>
      </c>
      <c r="J313" s="228">
        <f>AVERAGE(H313/G313*100)</f>
        <v>100</v>
      </c>
    </row>
    <row r="314" spans="1:10" s="79" customFormat="1" ht="15.75" x14ac:dyDescent="0.25">
      <c r="A314" s="194"/>
      <c r="B314" s="194"/>
      <c r="C314" s="194"/>
      <c r="D314" s="194"/>
      <c r="E314" s="179"/>
      <c r="F314" s="289"/>
      <c r="G314" s="289"/>
      <c r="H314" s="289"/>
      <c r="I314" s="227"/>
      <c r="J314" s="227"/>
    </row>
    <row r="315" spans="1:10" s="1" customFormat="1" ht="15" x14ac:dyDescent="0.25">
      <c r="C315" s="187"/>
      <c r="D315" s="182" t="s">
        <v>178</v>
      </c>
      <c r="E315" s="96"/>
      <c r="F315" s="265"/>
      <c r="G315" s="265"/>
      <c r="H315" s="265"/>
      <c r="I315" s="237"/>
      <c r="J315" s="237"/>
    </row>
    <row r="316" spans="1:10" s="1" customFormat="1" x14ac:dyDescent="0.2">
      <c r="C316" s="187"/>
      <c r="D316" s="218" t="s">
        <v>197</v>
      </c>
      <c r="E316" s="195"/>
      <c r="F316" s="294"/>
      <c r="G316" s="294"/>
      <c r="H316" s="294"/>
      <c r="I316" s="238"/>
      <c r="J316" s="238"/>
    </row>
    <row r="317" spans="1:10" s="1" customFormat="1" ht="15" x14ac:dyDescent="0.25">
      <c r="B317" s="2"/>
      <c r="C317" s="187"/>
      <c r="D317" s="252" t="s">
        <v>325</v>
      </c>
      <c r="E317" s="177">
        <f>SUM(E318)</f>
        <v>84000</v>
      </c>
      <c r="F317" s="260">
        <f>SUM(F318)</f>
        <v>80000</v>
      </c>
      <c r="G317" s="260">
        <f>SUM(G318)</f>
        <v>80000</v>
      </c>
      <c r="H317" s="260">
        <f>SUM(H318)</f>
        <v>80000</v>
      </c>
      <c r="I317" s="312">
        <f>AVERAGE(G317/F317*100)</f>
        <v>100</v>
      </c>
      <c r="J317" s="312">
        <f>AVERAGE(H317/G317*100)</f>
        <v>100</v>
      </c>
    </row>
    <row r="318" spans="1:10" s="130" customFormat="1" ht="15" x14ac:dyDescent="0.2">
      <c r="A318" s="105" t="s">
        <v>347</v>
      </c>
      <c r="B318" s="101"/>
      <c r="C318" s="143">
        <v>38</v>
      </c>
      <c r="D318" s="144" t="s">
        <v>80</v>
      </c>
      <c r="E318" s="103">
        <f>SUM(E319+E322)</f>
        <v>84000</v>
      </c>
      <c r="F318" s="268">
        <f>SUM(F319+F322)</f>
        <v>80000</v>
      </c>
      <c r="G318" s="268">
        <v>80000</v>
      </c>
      <c r="H318" s="268">
        <v>80000</v>
      </c>
      <c r="I318" s="310">
        <f t="shared" ref="I318:J323" si="40">AVERAGE(G318/F318*100)</f>
        <v>100</v>
      </c>
      <c r="J318" s="310">
        <f t="shared" si="40"/>
        <v>100</v>
      </c>
    </row>
    <row r="319" spans="1:10" s="112" customFormat="1" ht="14.25" x14ac:dyDescent="0.2">
      <c r="A319" s="105" t="s">
        <v>347</v>
      </c>
      <c r="B319" s="101"/>
      <c r="C319" s="143">
        <v>381</v>
      </c>
      <c r="D319" s="144" t="s">
        <v>37</v>
      </c>
      <c r="E319" s="103">
        <f>SUM(E320:E321)</f>
        <v>74000</v>
      </c>
      <c r="F319" s="268">
        <f>SUM(F320:F321)</f>
        <v>75000</v>
      </c>
      <c r="G319" s="268"/>
      <c r="H319" s="268"/>
      <c r="I319" s="310">
        <f t="shared" si="40"/>
        <v>0</v>
      </c>
      <c r="J319" s="310"/>
    </row>
    <row r="320" spans="1:10" s="112" customFormat="1" ht="14.25" hidden="1" x14ac:dyDescent="0.2">
      <c r="A320" s="105" t="s">
        <v>347</v>
      </c>
      <c r="B320" s="105">
        <v>78</v>
      </c>
      <c r="C320" s="145">
        <v>381141</v>
      </c>
      <c r="D320" s="146" t="s">
        <v>228</v>
      </c>
      <c r="E320" s="107">
        <v>70000</v>
      </c>
      <c r="F320" s="271">
        <v>70000</v>
      </c>
      <c r="G320" s="271"/>
      <c r="H320" s="271"/>
      <c r="I320" s="310">
        <f t="shared" si="40"/>
        <v>0</v>
      </c>
      <c r="J320" s="310"/>
    </row>
    <row r="321" spans="1:10" s="112" customFormat="1" ht="14.25" hidden="1" x14ac:dyDescent="0.2">
      <c r="A321" s="105" t="s">
        <v>347</v>
      </c>
      <c r="B321" s="105">
        <v>79</v>
      </c>
      <c r="C321" s="145">
        <v>38119</v>
      </c>
      <c r="D321" s="146" t="s">
        <v>85</v>
      </c>
      <c r="E321" s="107">
        <v>4000</v>
      </c>
      <c r="F321" s="271">
        <v>5000</v>
      </c>
      <c r="G321" s="271"/>
      <c r="H321" s="271"/>
      <c r="I321" s="310">
        <f t="shared" si="40"/>
        <v>0</v>
      </c>
      <c r="J321" s="310"/>
    </row>
    <row r="322" spans="1:10" s="112" customFormat="1" ht="14.25" x14ac:dyDescent="0.2">
      <c r="A322" s="105" t="s">
        <v>347</v>
      </c>
      <c r="B322" s="101"/>
      <c r="C322" s="143">
        <v>382</v>
      </c>
      <c r="D322" s="144" t="s">
        <v>38</v>
      </c>
      <c r="E322" s="103">
        <f>SUM(E323)</f>
        <v>10000</v>
      </c>
      <c r="F322" s="268">
        <f>SUM(F323)</f>
        <v>5000</v>
      </c>
      <c r="G322" s="268"/>
      <c r="H322" s="268"/>
      <c r="I322" s="310">
        <f t="shared" si="40"/>
        <v>0</v>
      </c>
      <c r="J322" s="310"/>
    </row>
    <row r="323" spans="1:10" s="112" customFormat="1" ht="14.25" hidden="1" x14ac:dyDescent="0.2">
      <c r="A323" s="105" t="s">
        <v>347</v>
      </c>
      <c r="B323" s="105">
        <v>80</v>
      </c>
      <c r="C323" s="145">
        <v>38214</v>
      </c>
      <c r="D323" s="146" t="s">
        <v>237</v>
      </c>
      <c r="E323" s="107">
        <v>10000</v>
      </c>
      <c r="F323" s="271">
        <v>5000</v>
      </c>
      <c r="G323" s="271"/>
      <c r="H323" s="271"/>
      <c r="I323" s="310">
        <f t="shared" si="40"/>
        <v>0</v>
      </c>
      <c r="J323" s="310"/>
    </row>
    <row r="324" spans="1:10" s="112" customFormat="1" ht="15" thickBot="1" x14ac:dyDescent="0.25">
      <c r="A324" s="109"/>
      <c r="B324" s="109"/>
      <c r="C324" s="152"/>
      <c r="D324" s="153"/>
      <c r="E324" s="111"/>
      <c r="F324" s="273"/>
      <c r="G324" s="273"/>
      <c r="H324" s="273"/>
      <c r="I324" s="232"/>
      <c r="J324" s="232"/>
    </row>
    <row r="325" spans="1:10" s="190" customFormat="1" ht="17.25" thickBot="1" x14ac:dyDescent="0.3">
      <c r="A325" s="802" t="s">
        <v>238</v>
      </c>
      <c r="B325" s="803"/>
      <c r="C325" s="803"/>
      <c r="D325" s="803"/>
      <c r="E325" s="196">
        <f>SUM(E327)</f>
        <v>0</v>
      </c>
      <c r="F325" s="261">
        <f>SUM(F327)</f>
        <v>10000</v>
      </c>
      <c r="G325" s="261">
        <f>SUM(G327)</f>
        <v>10000</v>
      </c>
      <c r="H325" s="261">
        <f>SUM(H327)</f>
        <v>10000</v>
      </c>
      <c r="I325" s="226">
        <f>AVERAGE(G325/F325*100)</f>
        <v>100</v>
      </c>
      <c r="J325" s="226">
        <f>AVERAGE(H325/G325*100)</f>
        <v>100</v>
      </c>
    </row>
    <row r="326" spans="1:10" s="190" customFormat="1" ht="17.25" thickBot="1" x14ac:dyDescent="0.3">
      <c r="A326" s="197"/>
      <c r="B326" s="197"/>
      <c r="C326" s="197"/>
      <c r="D326" s="197"/>
      <c r="E326" s="172"/>
      <c r="F326" s="285"/>
      <c r="G326" s="285"/>
      <c r="H326" s="285"/>
      <c r="I326" s="227"/>
      <c r="J326" s="227"/>
    </row>
    <row r="327" spans="1:10" s="79" customFormat="1" ht="16.5" thickBot="1" x14ac:dyDescent="0.3">
      <c r="A327" s="789" t="s">
        <v>239</v>
      </c>
      <c r="B327" s="790"/>
      <c r="C327" s="790"/>
      <c r="D327" s="790"/>
      <c r="E327" s="91">
        <f>SUM(E331)</f>
        <v>0</v>
      </c>
      <c r="F327" s="263">
        <f>SUM(F331)</f>
        <v>10000</v>
      </c>
      <c r="G327" s="263">
        <f>SUM(G331)</f>
        <v>10000</v>
      </c>
      <c r="H327" s="263">
        <f>SUM(H331)</f>
        <v>10000</v>
      </c>
      <c r="I327" s="228">
        <f>AVERAGE(G327/F327*100)</f>
        <v>100</v>
      </c>
      <c r="J327" s="228">
        <f>AVERAGE(H327/G327*100)</f>
        <v>100</v>
      </c>
    </row>
    <row r="328" spans="1:10" ht="15" x14ac:dyDescent="0.25">
      <c r="B328" s="1"/>
      <c r="C328" s="187"/>
      <c r="D328" s="192"/>
      <c r="E328" s="175"/>
      <c r="F328" s="286"/>
      <c r="G328" s="286"/>
      <c r="H328" s="286"/>
      <c r="I328" s="227"/>
      <c r="J328" s="227"/>
    </row>
    <row r="329" spans="1:10" s="1" customFormat="1" ht="15" x14ac:dyDescent="0.25">
      <c r="C329" s="187"/>
      <c r="D329" s="182" t="s">
        <v>240</v>
      </c>
      <c r="E329" s="96"/>
      <c r="F329" s="265"/>
      <c r="G329" s="265"/>
      <c r="H329" s="265"/>
      <c r="I329" s="237"/>
      <c r="J329" s="237"/>
    </row>
    <row r="330" spans="1:10" s="1" customFormat="1" ht="14.25" customHeight="1" x14ac:dyDescent="0.25">
      <c r="C330" s="187"/>
      <c r="D330" s="218" t="s">
        <v>195</v>
      </c>
      <c r="E330" s="98"/>
      <c r="F330" s="266"/>
      <c r="G330" s="294"/>
      <c r="H330" s="294"/>
      <c r="I330" s="238"/>
      <c r="J330" s="238"/>
    </row>
    <row r="331" spans="1:10" s="1" customFormat="1" ht="15" x14ac:dyDescent="0.25">
      <c r="C331" s="187"/>
      <c r="D331" s="252" t="s">
        <v>326</v>
      </c>
      <c r="E331" s="177">
        <f t="shared" ref="E331:H333" si="41">SUM(E332)</f>
        <v>0</v>
      </c>
      <c r="F331" s="260">
        <f t="shared" si="41"/>
        <v>10000</v>
      </c>
      <c r="G331" s="260">
        <f t="shared" si="41"/>
        <v>10000</v>
      </c>
      <c r="H331" s="260">
        <f t="shared" si="41"/>
        <v>10000</v>
      </c>
      <c r="I331" s="312">
        <f>AVERAGE(G331/F331*100)</f>
        <v>100</v>
      </c>
      <c r="J331" s="312">
        <f>AVERAGE(H331/G331*100)</f>
        <v>100</v>
      </c>
    </row>
    <row r="332" spans="1:10" s="130" customFormat="1" ht="15" x14ac:dyDescent="0.2">
      <c r="A332" s="131" t="s">
        <v>292</v>
      </c>
      <c r="B332" s="101"/>
      <c r="C332" s="143">
        <v>32</v>
      </c>
      <c r="D332" s="144" t="s">
        <v>180</v>
      </c>
      <c r="E332" s="103">
        <f t="shared" si="41"/>
        <v>0</v>
      </c>
      <c r="F332" s="268">
        <f t="shared" si="41"/>
        <v>10000</v>
      </c>
      <c r="G332" s="268">
        <v>10000</v>
      </c>
      <c r="H332" s="268">
        <v>10000</v>
      </c>
      <c r="I332" s="310">
        <f t="shared" ref="I332:J334" si="42">AVERAGE(G332/F332*100)</f>
        <v>100</v>
      </c>
      <c r="J332" s="310">
        <f t="shared" si="42"/>
        <v>100</v>
      </c>
    </row>
    <row r="333" spans="1:10" s="130" customFormat="1" ht="15" x14ac:dyDescent="0.2">
      <c r="A333" s="131" t="s">
        <v>292</v>
      </c>
      <c r="B333" s="101"/>
      <c r="C333" s="143">
        <v>323</v>
      </c>
      <c r="D333" s="144" t="s">
        <v>56</v>
      </c>
      <c r="E333" s="103">
        <f t="shared" si="41"/>
        <v>0</v>
      </c>
      <c r="F333" s="268">
        <f t="shared" si="41"/>
        <v>10000</v>
      </c>
      <c r="G333" s="268"/>
      <c r="H333" s="268"/>
      <c r="I333" s="310">
        <f t="shared" si="42"/>
        <v>0</v>
      </c>
      <c r="J333" s="310"/>
    </row>
    <row r="334" spans="1:10" s="112" customFormat="1" ht="14.25" hidden="1" x14ac:dyDescent="0.2">
      <c r="A334" s="131" t="s">
        <v>292</v>
      </c>
      <c r="B334" s="105">
        <v>81</v>
      </c>
      <c r="C334" s="145">
        <v>3234</v>
      </c>
      <c r="D334" s="146" t="s">
        <v>60</v>
      </c>
      <c r="E334" s="107">
        <v>0</v>
      </c>
      <c r="F334" s="271">
        <v>10000</v>
      </c>
      <c r="G334" s="271"/>
      <c r="H334" s="271"/>
      <c r="I334" s="310">
        <f t="shared" si="42"/>
        <v>0</v>
      </c>
      <c r="J334" s="310"/>
    </row>
    <row r="335" spans="1:10" s="79" customFormat="1" ht="15.75" thickBot="1" x14ac:dyDescent="0.25">
      <c r="A335" s="108"/>
      <c r="C335" s="174"/>
      <c r="D335" s="198"/>
      <c r="E335" s="199"/>
      <c r="F335" s="295"/>
      <c r="G335" s="295"/>
      <c r="H335" s="295"/>
      <c r="I335" s="227"/>
      <c r="J335" s="227"/>
    </row>
    <row r="336" spans="1:10" s="190" customFormat="1" ht="17.25" thickBot="1" x14ac:dyDescent="0.3">
      <c r="A336" s="806" t="s">
        <v>282</v>
      </c>
      <c r="B336" s="807"/>
      <c r="C336" s="807"/>
      <c r="D336" s="807"/>
      <c r="E336" s="178">
        <f>SUM(E338+E371+E414)</f>
        <v>2675000</v>
      </c>
      <c r="F336" s="288">
        <f>SUM(F338+F371+F414)</f>
        <v>6430000</v>
      </c>
      <c r="G336" s="288">
        <f>SUM(G338+G371+G414)</f>
        <v>3580000</v>
      </c>
      <c r="H336" s="288">
        <f>SUM(H338+H371+H414)</f>
        <v>3950000</v>
      </c>
      <c r="I336" s="226">
        <f>AVERAGE(G336/F336*100)</f>
        <v>55.676516329704505</v>
      </c>
      <c r="J336" s="226">
        <f>AVERAGE(H336/G336*100)</f>
        <v>110.33519553072625</v>
      </c>
    </row>
    <row r="337" spans="1:10" s="190" customFormat="1" ht="17.25" thickBot="1" x14ac:dyDescent="0.3">
      <c r="A337" s="200"/>
      <c r="B337" s="200"/>
      <c r="C337" s="200"/>
      <c r="D337" s="200"/>
      <c r="E337" s="172"/>
      <c r="F337" s="285"/>
      <c r="G337" s="285"/>
      <c r="H337" s="285"/>
      <c r="I337" s="227"/>
      <c r="J337" s="227"/>
    </row>
    <row r="338" spans="1:10" s="79" customFormat="1" ht="16.5" thickBot="1" x14ac:dyDescent="0.3">
      <c r="A338" s="789" t="s">
        <v>241</v>
      </c>
      <c r="B338" s="790"/>
      <c r="C338" s="790"/>
      <c r="D338" s="790"/>
      <c r="E338" s="91">
        <f>SUM(E342+E351+E359+E366)</f>
        <v>0</v>
      </c>
      <c r="F338" s="263">
        <f>SUM(F342+F351+F359+F366)</f>
        <v>670000</v>
      </c>
      <c r="G338" s="263">
        <f>SUM(G342+G351+G359+G366)</f>
        <v>550000</v>
      </c>
      <c r="H338" s="263">
        <f>SUM(H342+H351+H359+H366)</f>
        <v>480000</v>
      </c>
      <c r="I338" s="228">
        <f>AVERAGE(G338/F338*100)</f>
        <v>82.089552238805979</v>
      </c>
      <c r="J338" s="228">
        <f>AVERAGE(H338/G338*100)</f>
        <v>87.272727272727266</v>
      </c>
    </row>
    <row r="339" spans="1:10" ht="15" x14ac:dyDescent="0.25">
      <c r="A339" s="108"/>
      <c r="B339" s="1"/>
      <c r="C339" s="187"/>
      <c r="D339" s="192"/>
      <c r="E339" s="175"/>
      <c r="F339" s="286"/>
      <c r="G339" s="286"/>
      <c r="H339" s="286"/>
      <c r="I339" s="227"/>
      <c r="J339" s="227"/>
    </row>
    <row r="340" spans="1:10" ht="15.75" customHeight="1" x14ac:dyDescent="0.25">
      <c r="A340" s="108"/>
      <c r="B340" s="1"/>
      <c r="C340" s="187"/>
      <c r="D340" s="182" t="s">
        <v>223</v>
      </c>
      <c r="E340" s="96"/>
      <c r="F340" s="265"/>
      <c r="G340" s="265"/>
      <c r="H340" s="265"/>
      <c r="I340" s="229"/>
      <c r="J340" s="229"/>
    </row>
    <row r="341" spans="1:10" ht="15.75" customHeight="1" x14ac:dyDescent="0.25">
      <c r="A341" s="108"/>
      <c r="B341" s="1"/>
      <c r="C341" s="187"/>
      <c r="D341" s="217" t="s">
        <v>195</v>
      </c>
      <c r="E341" s="98"/>
      <c r="F341" s="266"/>
      <c r="G341" s="266"/>
      <c r="H341" s="266"/>
      <c r="I341" s="230"/>
      <c r="J341" s="230"/>
    </row>
    <row r="342" spans="1:10" ht="16.5" customHeight="1" x14ac:dyDescent="0.25">
      <c r="A342" s="108"/>
      <c r="B342" s="1"/>
      <c r="C342" s="187"/>
      <c r="D342" s="252" t="s">
        <v>327</v>
      </c>
      <c r="E342" s="177">
        <f>SUM(E343)</f>
        <v>0</v>
      </c>
      <c r="F342" s="260">
        <f>SUM(F343)</f>
        <v>115000</v>
      </c>
      <c r="G342" s="260">
        <f>SUM(G343)</f>
        <v>100000</v>
      </c>
      <c r="H342" s="260">
        <f>SUM(H343)</f>
        <v>80000</v>
      </c>
      <c r="I342" s="312">
        <f>AVERAGE(G342/F342*100)</f>
        <v>86.956521739130437</v>
      </c>
      <c r="J342" s="312">
        <f>AVERAGE(H342/G342*100)</f>
        <v>80</v>
      </c>
    </row>
    <row r="343" spans="1:10" s="130" customFormat="1" ht="15" x14ac:dyDescent="0.2">
      <c r="A343" s="131" t="s">
        <v>292</v>
      </c>
      <c r="B343" s="101"/>
      <c r="C343" s="143">
        <v>32</v>
      </c>
      <c r="D343" s="144" t="s">
        <v>180</v>
      </c>
      <c r="E343" s="103">
        <f>SUM(E344+E346)</f>
        <v>0</v>
      </c>
      <c r="F343" s="268">
        <f>SUM(F344+F346)</f>
        <v>115000</v>
      </c>
      <c r="G343" s="268">
        <v>100000</v>
      </c>
      <c r="H343" s="268">
        <v>80000</v>
      </c>
      <c r="I343" s="310">
        <f t="shared" ref="I343:J347" si="43">AVERAGE(G343/F343*100)</f>
        <v>86.956521739130437</v>
      </c>
      <c r="J343" s="310">
        <f t="shared" si="43"/>
        <v>80</v>
      </c>
    </row>
    <row r="344" spans="1:10" s="130" customFormat="1" ht="15" x14ac:dyDescent="0.2">
      <c r="A344" s="131" t="s">
        <v>292</v>
      </c>
      <c r="B344" s="101"/>
      <c r="C344" s="143">
        <v>322</v>
      </c>
      <c r="D344" s="144" t="s">
        <v>52</v>
      </c>
      <c r="E344" s="103">
        <f>SUM(E345)</f>
        <v>0</v>
      </c>
      <c r="F344" s="268">
        <f>SUM(F345)</f>
        <v>100000</v>
      </c>
      <c r="G344" s="268"/>
      <c r="H344" s="268"/>
      <c r="I344" s="310">
        <f t="shared" si="43"/>
        <v>0</v>
      </c>
      <c r="J344" s="310"/>
    </row>
    <row r="345" spans="1:10" s="112" customFormat="1" ht="14.25" hidden="1" x14ac:dyDescent="0.2">
      <c r="A345" s="131" t="s">
        <v>292</v>
      </c>
      <c r="B345" s="105">
        <v>82</v>
      </c>
      <c r="C345" s="145">
        <v>3223</v>
      </c>
      <c r="D345" s="146" t="s">
        <v>54</v>
      </c>
      <c r="E345" s="107">
        <v>0</v>
      </c>
      <c r="F345" s="271">
        <v>100000</v>
      </c>
      <c r="G345" s="271"/>
      <c r="H345" s="271"/>
      <c r="I345" s="310">
        <f t="shared" si="43"/>
        <v>0</v>
      </c>
      <c r="J345" s="310"/>
    </row>
    <row r="346" spans="1:10" s="130" customFormat="1" ht="15" x14ac:dyDescent="0.2">
      <c r="A346" s="131" t="s">
        <v>292</v>
      </c>
      <c r="B346" s="101"/>
      <c r="C346" s="143">
        <v>323</v>
      </c>
      <c r="D346" s="144" t="s">
        <v>56</v>
      </c>
      <c r="E346" s="103">
        <f>SUM(E347)</f>
        <v>0</v>
      </c>
      <c r="F346" s="268">
        <f>SUM(F347)</f>
        <v>15000</v>
      </c>
      <c r="G346" s="268"/>
      <c r="H346" s="268"/>
      <c r="I346" s="310">
        <f t="shared" si="43"/>
        <v>0</v>
      </c>
      <c r="J346" s="310"/>
    </row>
    <row r="347" spans="1:10" s="112" customFormat="1" ht="14.25" hidden="1" x14ac:dyDescent="0.2">
      <c r="A347" s="131" t="s">
        <v>292</v>
      </c>
      <c r="B347" s="105">
        <v>83</v>
      </c>
      <c r="C347" s="145">
        <v>3232</v>
      </c>
      <c r="D347" s="146" t="s">
        <v>242</v>
      </c>
      <c r="E347" s="107">
        <v>0</v>
      </c>
      <c r="F347" s="271">
        <v>15000</v>
      </c>
      <c r="G347" s="271"/>
      <c r="H347" s="271"/>
      <c r="I347" s="310">
        <f t="shared" si="43"/>
        <v>0</v>
      </c>
      <c r="J347" s="310"/>
    </row>
    <row r="348" spans="1:10" s="112" customFormat="1" ht="14.25" x14ac:dyDescent="0.2">
      <c r="A348" s="109"/>
      <c r="B348" s="109"/>
      <c r="C348" s="152"/>
      <c r="D348" s="153"/>
      <c r="E348" s="111"/>
      <c r="F348" s="273"/>
      <c r="G348" s="273"/>
      <c r="H348" s="273"/>
      <c r="I348" s="232"/>
      <c r="J348" s="232"/>
    </row>
    <row r="349" spans="1:10" ht="15" x14ac:dyDescent="0.25">
      <c r="A349" s="108"/>
      <c r="B349" s="1"/>
      <c r="C349" s="187"/>
      <c r="D349" s="95" t="s">
        <v>223</v>
      </c>
      <c r="E349" s="96"/>
      <c r="F349" s="265"/>
      <c r="G349" s="265"/>
      <c r="H349" s="265"/>
      <c r="I349" s="229"/>
      <c r="J349" s="229"/>
    </row>
    <row r="350" spans="1:10" ht="15" x14ac:dyDescent="0.25">
      <c r="A350" s="108"/>
      <c r="B350" s="1"/>
      <c r="C350" s="187"/>
      <c r="D350" s="164" t="s">
        <v>195</v>
      </c>
      <c r="E350" s="98"/>
      <c r="F350" s="266"/>
      <c r="G350" s="266"/>
      <c r="H350" s="266"/>
      <c r="I350" s="230"/>
      <c r="J350" s="230"/>
    </row>
    <row r="351" spans="1:10" ht="15" x14ac:dyDescent="0.25">
      <c r="A351" s="108"/>
      <c r="B351" s="1"/>
      <c r="C351" s="187"/>
      <c r="D351" s="248" t="s">
        <v>328</v>
      </c>
      <c r="E351" s="177">
        <f t="shared" ref="E351:H352" si="44">SUM(E352)</f>
        <v>0</v>
      </c>
      <c r="F351" s="260">
        <f t="shared" si="44"/>
        <v>55000</v>
      </c>
      <c r="G351" s="260">
        <f t="shared" si="44"/>
        <v>50000</v>
      </c>
      <c r="H351" s="260">
        <f t="shared" si="44"/>
        <v>50000</v>
      </c>
      <c r="I351" s="312">
        <f>AVERAGE(G351/F351*100)</f>
        <v>90.909090909090907</v>
      </c>
      <c r="J351" s="312">
        <f>AVERAGE(H351/G351*100)</f>
        <v>100</v>
      </c>
    </row>
    <row r="352" spans="1:10" s="130" customFormat="1" ht="15" x14ac:dyDescent="0.2">
      <c r="A352" s="145" t="s">
        <v>306</v>
      </c>
      <c r="B352" s="101"/>
      <c r="C352" s="143">
        <v>32</v>
      </c>
      <c r="D352" s="144" t="s">
        <v>180</v>
      </c>
      <c r="E352" s="103">
        <f t="shared" si="44"/>
        <v>0</v>
      </c>
      <c r="F352" s="268">
        <f t="shared" si="44"/>
        <v>55000</v>
      </c>
      <c r="G352" s="268">
        <v>50000</v>
      </c>
      <c r="H352" s="268">
        <v>50000</v>
      </c>
      <c r="I352" s="310">
        <f t="shared" ref="I352:J355" si="45">AVERAGE(G352/F352*100)</f>
        <v>90.909090909090907</v>
      </c>
      <c r="J352" s="310">
        <f t="shared" si="45"/>
        <v>100</v>
      </c>
    </row>
    <row r="353" spans="1:10" s="130" customFormat="1" ht="15" x14ac:dyDescent="0.2">
      <c r="A353" s="145" t="s">
        <v>306</v>
      </c>
      <c r="B353" s="101"/>
      <c r="C353" s="143">
        <v>323</v>
      </c>
      <c r="D353" s="144" t="s">
        <v>56</v>
      </c>
      <c r="E353" s="103">
        <f>SUM(E354:E355)</f>
        <v>0</v>
      </c>
      <c r="F353" s="268">
        <f>SUM(F354:F355)</f>
        <v>55000</v>
      </c>
      <c r="G353" s="268"/>
      <c r="H353" s="268"/>
      <c r="I353" s="310">
        <f t="shared" si="45"/>
        <v>0</v>
      </c>
      <c r="J353" s="310"/>
    </row>
    <row r="354" spans="1:10" s="112" customFormat="1" ht="14.25" hidden="1" x14ac:dyDescent="0.2">
      <c r="A354" s="145" t="s">
        <v>306</v>
      </c>
      <c r="B354" s="105">
        <v>84</v>
      </c>
      <c r="C354" s="145">
        <v>3232</v>
      </c>
      <c r="D354" s="146" t="s">
        <v>242</v>
      </c>
      <c r="E354" s="107">
        <v>0</v>
      </c>
      <c r="F354" s="271">
        <v>10000</v>
      </c>
      <c r="G354" s="271"/>
      <c r="H354" s="271"/>
      <c r="I354" s="310">
        <f t="shared" si="45"/>
        <v>0</v>
      </c>
      <c r="J354" s="310"/>
    </row>
    <row r="355" spans="1:10" s="112" customFormat="1" ht="14.25" hidden="1" x14ac:dyDescent="0.2">
      <c r="A355" s="145" t="s">
        <v>306</v>
      </c>
      <c r="B355" s="105">
        <v>85</v>
      </c>
      <c r="C355" s="145">
        <v>3234</v>
      </c>
      <c r="D355" s="146" t="s">
        <v>60</v>
      </c>
      <c r="E355" s="107">
        <v>0</v>
      </c>
      <c r="F355" s="271">
        <v>45000</v>
      </c>
      <c r="G355" s="271"/>
      <c r="H355" s="271"/>
      <c r="I355" s="310">
        <f t="shared" si="45"/>
        <v>0</v>
      </c>
      <c r="J355" s="310"/>
    </row>
    <row r="356" spans="1:10" s="112" customFormat="1" ht="14.25" x14ac:dyDescent="0.2">
      <c r="A356" s="109"/>
      <c r="B356" s="109"/>
      <c r="C356" s="152"/>
      <c r="D356" s="153"/>
      <c r="E356" s="111"/>
      <c r="F356" s="273"/>
      <c r="G356" s="273"/>
      <c r="H356" s="273"/>
      <c r="I356" s="232"/>
      <c r="J356" s="232"/>
    </row>
    <row r="357" spans="1:10" ht="15" x14ac:dyDescent="0.25">
      <c r="B357" s="1"/>
      <c r="C357" s="187"/>
      <c r="D357" s="182" t="s">
        <v>223</v>
      </c>
      <c r="E357" s="96"/>
      <c r="F357" s="265"/>
      <c r="G357" s="265"/>
      <c r="H357" s="265"/>
      <c r="I357" s="237"/>
      <c r="J357" s="237"/>
    </row>
    <row r="358" spans="1:10" ht="14.25" customHeight="1" x14ac:dyDescent="0.25">
      <c r="B358" s="1"/>
      <c r="C358" s="187"/>
      <c r="D358" s="218" t="s">
        <v>243</v>
      </c>
      <c r="E358" s="98"/>
      <c r="F358" s="266"/>
      <c r="G358" s="266"/>
      <c r="H358" s="266"/>
      <c r="I358" s="238"/>
      <c r="J358" s="238"/>
    </row>
    <row r="359" spans="1:10" ht="15" x14ac:dyDescent="0.25">
      <c r="B359" s="1"/>
      <c r="C359" s="187"/>
      <c r="D359" s="253" t="s">
        <v>329</v>
      </c>
      <c r="E359" s="177">
        <f t="shared" ref="E359:H361" si="46">SUM(E360)</f>
        <v>0</v>
      </c>
      <c r="F359" s="260">
        <f t="shared" si="46"/>
        <v>250000</v>
      </c>
      <c r="G359" s="260">
        <f t="shared" si="46"/>
        <v>200000</v>
      </c>
      <c r="H359" s="260">
        <f t="shared" si="46"/>
        <v>150000</v>
      </c>
      <c r="I359" s="312">
        <f>AVERAGE(G359/F359*100)</f>
        <v>80</v>
      </c>
      <c r="J359" s="312">
        <f>AVERAGE(H359/G359*100)</f>
        <v>75</v>
      </c>
    </row>
    <row r="360" spans="1:10" s="130" customFormat="1" ht="15" x14ac:dyDescent="0.2">
      <c r="A360" s="105" t="s">
        <v>307</v>
      </c>
      <c r="B360" s="101"/>
      <c r="C360" s="143">
        <v>32</v>
      </c>
      <c r="D360" s="144" t="s">
        <v>180</v>
      </c>
      <c r="E360" s="103">
        <f t="shared" si="46"/>
        <v>0</v>
      </c>
      <c r="F360" s="268">
        <f t="shared" si="46"/>
        <v>250000</v>
      </c>
      <c r="G360" s="268">
        <v>200000</v>
      </c>
      <c r="H360" s="268">
        <v>150000</v>
      </c>
      <c r="I360" s="310">
        <f t="shared" ref="I360:J362" si="47">AVERAGE(G360/F360*100)</f>
        <v>80</v>
      </c>
      <c r="J360" s="310">
        <f t="shared" si="47"/>
        <v>75</v>
      </c>
    </row>
    <row r="361" spans="1:10" s="130" customFormat="1" ht="15" x14ac:dyDescent="0.2">
      <c r="A361" s="105" t="s">
        <v>307</v>
      </c>
      <c r="B361" s="101"/>
      <c r="C361" s="143">
        <v>323</v>
      </c>
      <c r="D361" s="144" t="s">
        <v>56</v>
      </c>
      <c r="E361" s="103">
        <f t="shared" si="46"/>
        <v>0</v>
      </c>
      <c r="F361" s="268">
        <f t="shared" si="46"/>
        <v>250000</v>
      </c>
      <c r="G361" s="268"/>
      <c r="H361" s="268"/>
      <c r="I361" s="310">
        <f t="shared" si="47"/>
        <v>0</v>
      </c>
      <c r="J361" s="310"/>
    </row>
    <row r="362" spans="1:10" s="112" customFormat="1" ht="14.25" hidden="1" x14ac:dyDescent="0.2">
      <c r="A362" s="105" t="s">
        <v>307</v>
      </c>
      <c r="B362" s="105">
        <v>86</v>
      </c>
      <c r="C362" s="145">
        <v>3232</v>
      </c>
      <c r="D362" s="146" t="s">
        <v>242</v>
      </c>
      <c r="E362" s="107">
        <v>0</v>
      </c>
      <c r="F362" s="271">
        <v>250000</v>
      </c>
      <c r="G362" s="271"/>
      <c r="H362" s="271"/>
      <c r="I362" s="310">
        <f t="shared" si="47"/>
        <v>0</v>
      </c>
      <c r="J362" s="310"/>
    </row>
    <row r="363" spans="1:10" s="112" customFormat="1" ht="14.25" x14ac:dyDescent="0.2">
      <c r="A363" s="109"/>
      <c r="B363" s="109"/>
      <c r="C363" s="152"/>
      <c r="D363" s="153"/>
      <c r="E363" s="111"/>
      <c r="F363" s="273"/>
      <c r="G363" s="273"/>
      <c r="H363" s="273"/>
      <c r="I363" s="232"/>
      <c r="J363" s="232"/>
    </row>
    <row r="364" spans="1:10" ht="15" x14ac:dyDescent="0.25">
      <c r="B364" s="1"/>
      <c r="C364" s="187"/>
      <c r="D364" s="182" t="s">
        <v>223</v>
      </c>
      <c r="E364" s="96"/>
      <c r="F364" s="265"/>
      <c r="G364" s="265"/>
      <c r="H364" s="265"/>
      <c r="I364" s="237"/>
      <c r="J364" s="237"/>
    </row>
    <row r="365" spans="1:10" ht="14.25" customHeight="1" x14ac:dyDescent="0.25">
      <c r="B365" s="1"/>
      <c r="C365" s="187"/>
      <c r="D365" s="218" t="s">
        <v>244</v>
      </c>
      <c r="E365" s="98"/>
      <c r="F365" s="266"/>
      <c r="G365" s="266"/>
      <c r="H365" s="266"/>
      <c r="I365" s="238"/>
      <c r="J365" s="238"/>
    </row>
    <row r="366" spans="1:10" ht="30" x14ac:dyDescent="0.25">
      <c r="B366" s="1"/>
      <c r="C366" s="187"/>
      <c r="D366" s="252" t="s">
        <v>330</v>
      </c>
      <c r="E366" s="177">
        <f t="shared" ref="E366:H368" si="48">SUM(E367)</f>
        <v>0</v>
      </c>
      <c r="F366" s="260">
        <f t="shared" si="48"/>
        <v>250000</v>
      </c>
      <c r="G366" s="260">
        <f t="shared" si="48"/>
        <v>200000</v>
      </c>
      <c r="H366" s="260">
        <f t="shared" si="48"/>
        <v>200000</v>
      </c>
      <c r="I366" s="312">
        <f>AVERAGE(G366/F366*100)</f>
        <v>80</v>
      </c>
      <c r="J366" s="312">
        <f>AVERAGE(H366/G366*100)</f>
        <v>100</v>
      </c>
    </row>
    <row r="367" spans="1:10" s="130" customFormat="1" ht="15" x14ac:dyDescent="0.2">
      <c r="A367" s="105" t="s">
        <v>308</v>
      </c>
      <c r="B367" s="101"/>
      <c r="C367" s="143">
        <v>32</v>
      </c>
      <c r="D367" s="144" t="s">
        <v>180</v>
      </c>
      <c r="E367" s="103">
        <f t="shared" si="48"/>
        <v>0</v>
      </c>
      <c r="F367" s="268">
        <f t="shared" si="48"/>
        <v>250000</v>
      </c>
      <c r="G367" s="268">
        <v>200000</v>
      </c>
      <c r="H367" s="268">
        <v>200000</v>
      </c>
      <c r="I367" s="310">
        <f t="shared" ref="I367:J369" si="49">AVERAGE(G367/F367*100)</f>
        <v>80</v>
      </c>
      <c r="J367" s="310">
        <f t="shared" si="49"/>
        <v>100</v>
      </c>
    </row>
    <row r="368" spans="1:10" s="130" customFormat="1" ht="15" x14ac:dyDescent="0.2">
      <c r="A368" s="105" t="s">
        <v>308</v>
      </c>
      <c r="B368" s="101"/>
      <c r="C368" s="143">
        <v>323</v>
      </c>
      <c r="D368" s="144" t="s">
        <v>56</v>
      </c>
      <c r="E368" s="103">
        <f t="shared" si="48"/>
        <v>0</v>
      </c>
      <c r="F368" s="268">
        <f t="shared" si="48"/>
        <v>250000</v>
      </c>
      <c r="G368" s="268"/>
      <c r="H368" s="268"/>
      <c r="I368" s="310">
        <f t="shared" si="49"/>
        <v>0</v>
      </c>
      <c r="J368" s="310"/>
    </row>
    <row r="369" spans="1:10" s="112" customFormat="1" ht="14.25" hidden="1" x14ac:dyDescent="0.2">
      <c r="A369" s="105" t="s">
        <v>308</v>
      </c>
      <c r="B369" s="105">
        <v>87</v>
      </c>
      <c r="C369" s="145">
        <v>3232</v>
      </c>
      <c r="D369" s="146" t="s">
        <v>242</v>
      </c>
      <c r="E369" s="107">
        <v>0</v>
      </c>
      <c r="F369" s="271">
        <v>250000</v>
      </c>
      <c r="G369" s="271"/>
      <c r="H369" s="271"/>
      <c r="I369" s="310">
        <f t="shared" si="49"/>
        <v>0</v>
      </c>
      <c r="J369" s="310"/>
    </row>
    <row r="370" spans="1:10" s="112" customFormat="1" ht="15" thickBot="1" x14ac:dyDescent="0.25">
      <c r="A370" s="109"/>
      <c r="B370" s="109"/>
      <c r="C370" s="152"/>
      <c r="D370" s="153"/>
      <c r="E370" s="111"/>
      <c r="F370" s="273"/>
      <c r="G370" s="273"/>
      <c r="H370" s="273"/>
      <c r="I370" s="232"/>
      <c r="J370" s="232"/>
    </row>
    <row r="371" spans="1:10" s="79" customFormat="1" ht="16.5" thickBot="1" x14ac:dyDescent="0.3">
      <c r="A371" s="789" t="s">
        <v>245</v>
      </c>
      <c r="B371" s="790"/>
      <c r="C371" s="790"/>
      <c r="D371" s="790"/>
      <c r="E371" s="91">
        <f>SUM(E375+E382+E389+E399+E406)</f>
        <v>1030000</v>
      </c>
      <c r="F371" s="263">
        <f>SUM(F375+F382+F389+F399+F406)</f>
        <v>2250000</v>
      </c>
      <c r="G371" s="263">
        <f>SUM(G375+G382+G389+G399+G406)</f>
        <v>1650000</v>
      </c>
      <c r="H371" s="263">
        <f>SUM(H375+H382+H389+H399+H406)</f>
        <v>1900000</v>
      </c>
      <c r="I371" s="228">
        <f>AVERAGE(G371/F371*100)</f>
        <v>73.333333333333329</v>
      </c>
      <c r="J371" s="228">
        <f>AVERAGE(H371/G371*100)</f>
        <v>115.15151515151516</v>
      </c>
    </row>
    <row r="372" spans="1:10" s="79" customFormat="1" ht="15.75" x14ac:dyDescent="0.25">
      <c r="A372" s="80"/>
      <c r="B372" s="80"/>
      <c r="C372" s="80"/>
      <c r="D372" s="80"/>
      <c r="E372" s="179"/>
      <c r="F372" s="289"/>
      <c r="G372" s="289"/>
      <c r="H372" s="289"/>
      <c r="I372" s="227"/>
      <c r="J372" s="227"/>
    </row>
    <row r="373" spans="1:10" s="1" customFormat="1" ht="28.5" x14ac:dyDescent="0.25">
      <c r="C373" s="187"/>
      <c r="D373" s="182" t="s">
        <v>246</v>
      </c>
      <c r="E373" s="96"/>
      <c r="F373" s="265"/>
      <c r="G373" s="265"/>
      <c r="H373" s="265"/>
      <c r="I373" s="237"/>
      <c r="J373" s="237"/>
    </row>
    <row r="374" spans="1:10" s="1" customFormat="1" ht="15" x14ac:dyDescent="0.25">
      <c r="C374" s="187"/>
      <c r="D374" s="218" t="s">
        <v>247</v>
      </c>
      <c r="E374" s="98"/>
      <c r="F374" s="266"/>
      <c r="G374" s="266"/>
      <c r="H374" s="266"/>
      <c r="I374" s="238"/>
      <c r="J374" s="238"/>
    </row>
    <row r="375" spans="1:10" s="1" customFormat="1" ht="30" x14ac:dyDescent="0.25">
      <c r="C375" s="187"/>
      <c r="D375" s="252" t="s">
        <v>331</v>
      </c>
      <c r="E375" s="177">
        <f t="shared" ref="E375:H377" si="50">SUM(E376)</f>
        <v>70000</v>
      </c>
      <c r="F375" s="260">
        <f t="shared" si="50"/>
        <v>50000</v>
      </c>
      <c r="G375" s="260">
        <f t="shared" si="50"/>
        <v>100000</v>
      </c>
      <c r="H375" s="260">
        <f t="shared" si="50"/>
        <v>150000</v>
      </c>
      <c r="I375" s="312">
        <f>AVERAGE(G375/F375*100)</f>
        <v>200</v>
      </c>
      <c r="J375" s="312">
        <f>AVERAGE(H375/G375*100)</f>
        <v>150</v>
      </c>
    </row>
    <row r="376" spans="1:10" s="130" customFormat="1" ht="15" x14ac:dyDescent="0.2">
      <c r="A376" s="105" t="s">
        <v>293</v>
      </c>
      <c r="B376" s="101"/>
      <c r="C376" s="143">
        <v>41</v>
      </c>
      <c r="D376" s="144" t="s">
        <v>248</v>
      </c>
      <c r="E376" s="103">
        <f t="shared" si="50"/>
        <v>70000</v>
      </c>
      <c r="F376" s="268">
        <f t="shared" si="50"/>
        <v>50000</v>
      </c>
      <c r="G376" s="268">
        <v>100000</v>
      </c>
      <c r="H376" s="268">
        <v>150000</v>
      </c>
      <c r="I376" s="310">
        <f t="shared" ref="I376:J378" si="51">AVERAGE(G376/F376*100)</f>
        <v>200</v>
      </c>
      <c r="J376" s="310">
        <f t="shared" si="51"/>
        <v>150</v>
      </c>
    </row>
    <row r="377" spans="1:10" s="112" customFormat="1" ht="14.25" x14ac:dyDescent="0.2">
      <c r="A377" s="105" t="s">
        <v>293</v>
      </c>
      <c r="B377" s="101"/>
      <c r="C377" s="143">
        <v>411</v>
      </c>
      <c r="D377" s="144" t="s">
        <v>95</v>
      </c>
      <c r="E377" s="103">
        <f t="shared" si="50"/>
        <v>70000</v>
      </c>
      <c r="F377" s="268">
        <f t="shared" si="50"/>
        <v>50000</v>
      </c>
      <c r="G377" s="268"/>
      <c r="H377" s="268"/>
      <c r="I377" s="310">
        <f t="shared" si="51"/>
        <v>0</v>
      </c>
      <c r="J377" s="310"/>
    </row>
    <row r="378" spans="1:10" s="112" customFormat="1" ht="14.25" hidden="1" x14ac:dyDescent="0.2">
      <c r="A378" s="105" t="s">
        <v>293</v>
      </c>
      <c r="B378" s="105">
        <v>88</v>
      </c>
      <c r="C378" s="145">
        <v>4111</v>
      </c>
      <c r="D378" s="146" t="s">
        <v>40</v>
      </c>
      <c r="E378" s="107">
        <v>70000</v>
      </c>
      <c r="F378" s="271">
        <v>50000</v>
      </c>
      <c r="G378" s="271"/>
      <c r="H378" s="271"/>
      <c r="I378" s="310">
        <f t="shared" si="51"/>
        <v>0</v>
      </c>
      <c r="J378" s="310"/>
    </row>
    <row r="379" spans="1:10" s="79" customFormat="1" ht="15" x14ac:dyDescent="0.2">
      <c r="A379" s="108"/>
      <c r="C379" s="174"/>
      <c r="D379" s="198"/>
      <c r="E379" s="199"/>
      <c r="F379" s="295"/>
      <c r="G379" s="295"/>
      <c r="H379" s="295"/>
      <c r="I379" s="227"/>
      <c r="J379" s="227"/>
    </row>
    <row r="380" spans="1:10" s="1" customFormat="1" ht="15" x14ac:dyDescent="0.25">
      <c r="A380" s="104"/>
      <c r="C380" s="187"/>
      <c r="D380" s="182" t="s">
        <v>249</v>
      </c>
      <c r="E380" s="96"/>
      <c r="F380" s="265"/>
      <c r="G380" s="265"/>
      <c r="H380" s="265"/>
      <c r="I380" s="237"/>
      <c r="J380" s="237"/>
    </row>
    <row r="381" spans="1:10" s="1" customFormat="1" ht="15" x14ac:dyDescent="0.25">
      <c r="A381" s="104"/>
      <c r="C381" s="187"/>
      <c r="D381" s="218" t="s">
        <v>243</v>
      </c>
      <c r="E381" s="195"/>
      <c r="F381" s="294"/>
      <c r="G381" s="294"/>
      <c r="H381" s="294"/>
      <c r="I381" s="238"/>
      <c r="J381" s="238"/>
    </row>
    <row r="382" spans="1:10" s="1" customFormat="1" ht="15" x14ac:dyDescent="0.25">
      <c r="A382" s="104"/>
      <c r="C382" s="187"/>
      <c r="D382" s="253" t="s">
        <v>332</v>
      </c>
      <c r="E382" s="177">
        <f t="shared" ref="E382:H384" si="52">SUM(E383)</f>
        <v>700000</v>
      </c>
      <c r="F382" s="260">
        <f t="shared" si="52"/>
        <v>300000</v>
      </c>
      <c r="G382" s="260">
        <f t="shared" si="52"/>
        <v>300000</v>
      </c>
      <c r="H382" s="260">
        <f t="shared" si="52"/>
        <v>500000</v>
      </c>
      <c r="I382" s="312">
        <f>AVERAGE(G382/F382*100)</f>
        <v>100</v>
      </c>
      <c r="J382" s="312">
        <f>AVERAGE(H382/G382*100)</f>
        <v>166.66666666666669</v>
      </c>
    </row>
    <row r="383" spans="1:10" s="112" customFormat="1" ht="14.25" x14ac:dyDescent="0.2">
      <c r="A383" s="105" t="s">
        <v>311</v>
      </c>
      <c r="B383" s="101"/>
      <c r="C383" s="143">
        <v>42</v>
      </c>
      <c r="D383" s="144" t="s">
        <v>250</v>
      </c>
      <c r="E383" s="103">
        <f t="shared" si="52"/>
        <v>700000</v>
      </c>
      <c r="F383" s="268">
        <f t="shared" si="52"/>
        <v>300000</v>
      </c>
      <c r="G383" s="268">
        <v>300000</v>
      </c>
      <c r="H383" s="268">
        <v>500000</v>
      </c>
      <c r="I383" s="310">
        <f t="shared" ref="I383:J385" si="53">AVERAGE(G383/F383*100)</f>
        <v>100</v>
      </c>
      <c r="J383" s="310">
        <f t="shared" si="53"/>
        <v>166.66666666666669</v>
      </c>
    </row>
    <row r="384" spans="1:10" s="112" customFormat="1" ht="14.25" x14ac:dyDescent="0.2">
      <c r="A384" s="105" t="s">
        <v>311</v>
      </c>
      <c r="B384" s="101"/>
      <c r="C384" s="143">
        <v>421</v>
      </c>
      <c r="D384" s="144" t="s">
        <v>97</v>
      </c>
      <c r="E384" s="103">
        <f t="shared" si="52"/>
        <v>700000</v>
      </c>
      <c r="F384" s="268">
        <f t="shared" si="52"/>
        <v>300000</v>
      </c>
      <c r="G384" s="268"/>
      <c r="H384" s="268"/>
      <c r="I384" s="310">
        <f t="shared" si="53"/>
        <v>0</v>
      </c>
      <c r="J384" s="310"/>
    </row>
    <row r="385" spans="1:10" s="112" customFormat="1" ht="14.25" hidden="1" x14ac:dyDescent="0.2">
      <c r="A385" s="105" t="s">
        <v>311</v>
      </c>
      <c r="B385" s="105">
        <v>89</v>
      </c>
      <c r="C385" s="145">
        <v>4214</v>
      </c>
      <c r="D385" s="146" t="s">
        <v>251</v>
      </c>
      <c r="E385" s="107">
        <v>700000</v>
      </c>
      <c r="F385" s="271">
        <v>300000</v>
      </c>
      <c r="G385" s="271"/>
      <c r="H385" s="271"/>
      <c r="I385" s="310">
        <f t="shared" si="53"/>
        <v>0</v>
      </c>
      <c r="J385" s="310"/>
    </row>
    <row r="386" spans="1:10" s="112" customFormat="1" ht="14.25" x14ac:dyDescent="0.2">
      <c r="A386" s="109"/>
      <c r="B386" s="109"/>
      <c r="C386" s="152"/>
      <c r="D386" s="153"/>
      <c r="E386" s="111"/>
      <c r="F386" s="273"/>
      <c r="G386" s="273"/>
      <c r="H386" s="273"/>
      <c r="I386" s="232"/>
      <c r="J386" s="232"/>
    </row>
    <row r="387" spans="1:10" s="1" customFormat="1" ht="28.5" x14ac:dyDescent="0.25">
      <c r="A387" s="104"/>
      <c r="C387" s="187"/>
      <c r="D387" s="182" t="s">
        <v>246</v>
      </c>
      <c r="E387" s="96"/>
      <c r="F387" s="265"/>
      <c r="G387" s="265"/>
      <c r="H387" s="265"/>
      <c r="I387" s="237"/>
      <c r="J387" s="237"/>
    </row>
    <row r="388" spans="1:10" s="1" customFormat="1" ht="15" x14ac:dyDescent="0.25">
      <c r="A388" s="104"/>
      <c r="C388" s="187"/>
      <c r="D388" s="218" t="s">
        <v>195</v>
      </c>
      <c r="E388" s="195"/>
      <c r="F388" s="294"/>
      <c r="G388" s="294"/>
      <c r="H388" s="266"/>
      <c r="I388" s="238"/>
      <c r="J388" s="238"/>
    </row>
    <row r="389" spans="1:10" s="1" customFormat="1" ht="15" x14ac:dyDescent="0.25">
      <c r="A389" s="104"/>
      <c r="C389" s="187"/>
      <c r="D389" s="253" t="s">
        <v>333</v>
      </c>
      <c r="E389" s="177">
        <f>SUM(E390+E393)</f>
        <v>110000</v>
      </c>
      <c r="F389" s="260">
        <f>SUM(F390+F393)</f>
        <v>100000</v>
      </c>
      <c r="G389" s="260">
        <f>SUM(G390+G393)</f>
        <v>50000</v>
      </c>
      <c r="H389" s="260">
        <f>SUM(H390+H393)</f>
        <v>50000</v>
      </c>
      <c r="I389" s="312">
        <f>AVERAGE(G389/F389*100)</f>
        <v>50</v>
      </c>
      <c r="J389" s="312">
        <f>AVERAGE(H389/G389*100)</f>
        <v>100</v>
      </c>
    </row>
    <row r="390" spans="1:10" s="112" customFormat="1" ht="14.25" x14ac:dyDescent="0.2">
      <c r="A390" s="105" t="s">
        <v>312</v>
      </c>
      <c r="B390" s="101"/>
      <c r="C390" s="143">
        <v>38</v>
      </c>
      <c r="D390" s="144" t="s">
        <v>128</v>
      </c>
      <c r="E390" s="103">
        <f t="shared" ref="E390:H394" si="54">SUM(E391)</f>
        <v>10000</v>
      </c>
      <c r="F390" s="268">
        <f t="shared" si="54"/>
        <v>100000</v>
      </c>
      <c r="G390" s="268">
        <v>50000</v>
      </c>
      <c r="H390" s="268">
        <v>50000</v>
      </c>
      <c r="I390" s="310">
        <f>AVERAGE(G390/F390*100)</f>
        <v>50</v>
      </c>
      <c r="J390" s="310">
        <f>AVERAGE(H390/G390*100)</f>
        <v>100</v>
      </c>
    </row>
    <row r="391" spans="1:10" s="112" customFormat="1" ht="14.25" x14ac:dyDescent="0.2">
      <c r="A391" s="105" t="s">
        <v>312</v>
      </c>
      <c r="B391" s="101"/>
      <c r="C391" s="143">
        <v>386</v>
      </c>
      <c r="D391" s="144" t="s">
        <v>262</v>
      </c>
      <c r="E391" s="103">
        <f t="shared" si="54"/>
        <v>10000</v>
      </c>
      <c r="F391" s="268">
        <f t="shared" si="54"/>
        <v>100000</v>
      </c>
      <c r="G391" s="268"/>
      <c r="H391" s="268"/>
      <c r="I391" s="310">
        <f>AVERAGE(G391/F391*100)</f>
        <v>0</v>
      </c>
      <c r="J391" s="310"/>
    </row>
    <row r="392" spans="1:10" s="112" customFormat="1" ht="14.25" hidden="1" x14ac:dyDescent="0.2">
      <c r="A392" s="105" t="s">
        <v>312</v>
      </c>
      <c r="B392" s="105">
        <v>90</v>
      </c>
      <c r="C392" s="145">
        <v>3862</v>
      </c>
      <c r="D392" s="146" t="s">
        <v>263</v>
      </c>
      <c r="E392" s="107">
        <v>10000</v>
      </c>
      <c r="F392" s="271">
        <v>100000</v>
      </c>
      <c r="G392" s="271"/>
      <c r="H392" s="271"/>
      <c r="I392" s="310">
        <f>AVERAGE(G392/F392*100)</f>
        <v>0</v>
      </c>
      <c r="J392" s="310"/>
    </row>
    <row r="393" spans="1:10" s="112" customFormat="1" ht="14.25" x14ac:dyDescent="0.2">
      <c r="A393" s="105" t="s">
        <v>312</v>
      </c>
      <c r="B393" s="101"/>
      <c r="C393" s="143">
        <v>42</v>
      </c>
      <c r="D393" s="144" t="s">
        <v>250</v>
      </c>
      <c r="E393" s="103">
        <f t="shared" si="54"/>
        <v>100000</v>
      </c>
      <c r="F393" s="268">
        <f t="shared" si="54"/>
        <v>0</v>
      </c>
      <c r="G393" s="268">
        <f t="shared" si="54"/>
        <v>0</v>
      </c>
      <c r="H393" s="268">
        <f t="shared" si="54"/>
        <v>0</v>
      </c>
      <c r="I393" s="310">
        <v>0</v>
      </c>
      <c r="J393" s="310">
        <v>0</v>
      </c>
    </row>
    <row r="394" spans="1:10" s="112" customFormat="1" ht="14.25" x14ac:dyDescent="0.2">
      <c r="A394" s="105" t="s">
        <v>312</v>
      </c>
      <c r="B394" s="101"/>
      <c r="C394" s="143">
        <v>421</v>
      </c>
      <c r="D394" s="144" t="s">
        <v>97</v>
      </c>
      <c r="E394" s="103">
        <f t="shared" si="54"/>
        <v>100000</v>
      </c>
      <c r="F394" s="268">
        <f t="shared" si="54"/>
        <v>0</v>
      </c>
      <c r="G394" s="268"/>
      <c r="H394" s="268"/>
      <c r="I394" s="310"/>
      <c r="J394" s="310"/>
    </row>
    <row r="395" spans="1:10" s="112" customFormat="1" ht="14.25" hidden="1" x14ac:dyDescent="0.2">
      <c r="A395" s="105" t="s">
        <v>312</v>
      </c>
      <c r="B395" s="105">
        <v>91</v>
      </c>
      <c r="C395" s="145">
        <v>4214</v>
      </c>
      <c r="D395" s="146" t="s">
        <v>251</v>
      </c>
      <c r="E395" s="107">
        <v>100000</v>
      </c>
      <c r="F395" s="271">
        <v>0</v>
      </c>
      <c r="G395" s="271"/>
      <c r="H395" s="271"/>
      <c r="I395" s="310"/>
      <c r="J395" s="310"/>
    </row>
    <row r="396" spans="1:10" s="112" customFormat="1" ht="14.25" x14ac:dyDescent="0.2">
      <c r="A396" s="109"/>
      <c r="B396" s="109"/>
      <c r="C396" s="152"/>
      <c r="D396" s="153"/>
      <c r="E396" s="111"/>
      <c r="F396" s="273"/>
      <c r="G396" s="273"/>
      <c r="H396" s="273"/>
      <c r="I396" s="232"/>
      <c r="J396" s="232"/>
    </row>
    <row r="397" spans="1:10" s="1" customFormat="1" ht="28.5" x14ac:dyDescent="0.25">
      <c r="C397" s="187"/>
      <c r="D397" s="182" t="s">
        <v>246</v>
      </c>
      <c r="E397" s="96"/>
      <c r="F397" s="265"/>
      <c r="G397" s="265"/>
      <c r="H397" s="265"/>
      <c r="I397" s="229"/>
      <c r="J397" s="229"/>
    </row>
    <row r="398" spans="1:10" s="1" customFormat="1" ht="15" x14ac:dyDescent="0.25">
      <c r="C398" s="187"/>
      <c r="D398" s="218" t="s">
        <v>252</v>
      </c>
      <c r="E398" s="98"/>
      <c r="F398" s="266"/>
      <c r="G398" s="266"/>
      <c r="H398" s="266"/>
      <c r="I398" s="230"/>
      <c r="J398" s="230"/>
    </row>
    <row r="399" spans="1:10" s="1" customFormat="1" ht="15" x14ac:dyDescent="0.25">
      <c r="C399" s="187"/>
      <c r="D399" s="252" t="s">
        <v>334</v>
      </c>
      <c r="E399" s="177">
        <f t="shared" ref="E399:H401" si="55">SUM(E400)</f>
        <v>50000</v>
      </c>
      <c r="F399" s="260">
        <f t="shared" si="55"/>
        <v>1000000</v>
      </c>
      <c r="G399" s="260">
        <f t="shared" si="55"/>
        <v>500000</v>
      </c>
      <c r="H399" s="260">
        <f t="shared" si="55"/>
        <v>0</v>
      </c>
      <c r="I399" s="312">
        <f>AVERAGE(G399/F399*100)</f>
        <v>50</v>
      </c>
      <c r="J399" s="312">
        <f>AVERAGE(H399/G399*100)</f>
        <v>0</v>
      </c>
    </row>
    <row r="400" spans="1:10" s="112" customFormat="1" ht="14.25" x14ac:dyDescent="0.2">
      <c r="A400" s="105" t="s">
        <v>348</v>
      </c>
      <c r="B400" s="101"/>
      <c r="C400" s="143">
        <v>42</v>
      </c>
      <c r="D400" s="144" t="s">
        <v>250</v>
      </c>
      <c r="E400" s="103">
        <f t="shared" si="55"/>
        <v>50000</v>
      </c>
      <c r="F400" s="268">
        <f t="shared" si="55"/>
        <v>1000000</v>
      </c>
      <c r="G400" s="268">
        <v>500000</v>
      </c>
      <c r="H400" s="268">
        <f t="shared" si="55"/>
        <v>0</v>
      </c>
      <c r="I400" s="310">
        <f t="shared" ref="I400:J402" si="56">AVERAGE(G400/F400*100)</f>
        <v>50</v>
      </c>
      <c r="J400" s="310">
        <f t="shared" si="56"/>
        <v>0</v>
      </c>
    </row>
    <row r="401" spans="1:10" s="112" customFormat="1" ht="14.25" x14ac:dyDescent="0.2">
      <c r="A401" s="105" t="s">
        <v>348</v>
      </c>
      <c r="B401" s="101"/>
      <c r="C401" s="143">
        <v>421</v>
      </c>
      <c r="D401" s="144" t="s">
        <v>97</v>
      </c>
      <c r="E401" s="103">
        <f t="shared" si="55"/>
        <v>50000</v>
      </c>
      <c r="F401" s="268">
        <f t="shared" si="55"/>
        <v>1000000</v>
      </c>
      <c r="G401" s="268"/>
      <c r="H401" s="268"/>
      <c r="I401" s="310">
        <f t="shared" si="56"/>
        <v>0</v>
      </c>
      <c r="J401" s="310"/>
    </row>
    <row r="402" spans="1:10" s="112" customFormat="1" ht="14.25" hidden="1" x14ac:dyDescent="0.2">
      <c r="A402" s="105" t="s">
        <v>348</v>
      </c>
      <c r="B402" s="105">
        <v>92</v>
      </c>
      <c r="C402" s="145">
        <v>4214</v>
      </c>
      <c r="D402" s="146" t="s">
        <v>251</v>
      </c>
      <c r="E402" s="107">
        <v>50000</v>
      </c>
      <c r="F402" s="271">
        <v>1000000</v>
      </c>
      <c r="G402" s="271"/>
      <c r="H402" s="271"/>
      <c r="I402" s="310">
        <f t="shared" si="56"/>
        <v>0</v>
      </c>
      <c r="J402" s="310"/>
    </row>
    <row r="403" spans="1:10" s="112" customFormat="1" ht="14.25" x14ac:dyDescent="0.2">
      <c r="A403" s="109"/>
      <c r="B403" s="109"/>
      <c r="C403" s="152"/>
      <c r="D403" s="153"/>
      <c r="E403" s="111"/>
      <c r="F403" s="273"/>
      <c r="G403" s="273"/>
      <c r="H403" s="273"/>
      <c r="I403" s="232"/>
      <c r="J403" s="232"/>
    </row>
    <row r="404" spans="1:10" s="1" customFormat="1" ht="28.5" x14ac:dyDescent="0.25">
      <c r="C404" s="187"/>
      <c r="D404" s="182" t="s">
        <v>261</v>
      </c>
      <c r="E404" s="96"/>
      <c r="F404" s="265"/>
      <c r="G404" s="265"/>
      <c r="H404" s="265"/>
      <c r="I404" s="229"/>
      <c r="J404" s="229"/>
    </row>
    <row r="405" spans="1:10" s="1" customFormat="1" ht="25.5" x14ac:dyDescent="0.25">
      <c r="C405" s="187"/>
      <c r="D405" s="217" t="s">
        <v>253</v>
      </c>
      <c r="E405" s="98"/>
      <c r="F405" s="266"/>
      <c r="G405" s="266"/>
      <c r="H405" s="266"/>
      <c r="I405" s="230"/>
      <c r="J405" s="230"/>
    </row>
    <row r="406" spans="1:10" s="1" customFormat="1" ht="15" x14ac:dyDescent="0.25">
      <c r="C406" s="187"/>
      <c r="D406" s="253" t="s">
        <v>335</v>
      </c>
      <c r="E406" s="177">
        <f>SUM(E407)</f>
        <v>100000</v>
      </c>
      <c r="F406" s="260">
        <f>SUM(F407+F410)</f>
        <v>800000</v>
      </c>
      <c r="G406" s="260">
        <f>SUM(G407+G410)</f>
        <v>700000</v>
      </c>
      <c r="H406" s="260">
        <f>SUM(H407+H410)</f>
        <v>1200000</v>
      </c>
      <c r="I406" s="312">
        <f>AVERAGE(G406/F406*100)</f>
        <v>87.5</v>
      </c>
      <c r="J406" s="312">
        <f>AVERAGE(H406/G406*100)</f>
        <v>171.42857142857142</v>
      </c>
    </row>
    <row r="407" spans="1:10" s="112" customFormat="1" ht="14.25" x14ac:dyDescent="0.2">
      <c r="A407" s="105" t="s">
        <v>349</v>
      </c>
      <c r="B407" s="101"/>
      <c r="C407" s="143">
        <v>42</v>
      </c>
      <c r="D407" s="144" t="s">
        <v>250</v>
      </c>
      <c r="E407" s="103">
        <f>SUM(E408)</f>
        <v>100000</v>
      </c>
      <c r="F407" s="268">
        <f>SUM(F408)</f>
        <v>650000</v>
      </c>
      <c r="G407" s="268">
        <v>500000</v>
      </c>
      <c r="H407" s="268">
        <v>700000</v>
      </c>
      <c r="I407" s="310">
        <f t="shared" ref="I407:J412" si="57">AVERAGE(G407/F407*100)</f>
        <v>76.923076923076934</v>
      </c>
      <c r="J407" s="310">
        <f t="shared" si="57"/>
        <v>140</v>
      </c>
    </row>
    <row r="408" spans="1:10" s="112" customFormat="1" ht="14.25" x14ac:dyDescent="0.2">
      <c r="A408" s="105" t="s">
        <v>349</v>
      </c>
      <c r="B408" s="101"/>
      <c r="C408" s="143">
        <v>421</v>
      </c>
      <c r="D408" s="144" t="s">
        <v>97</v>
      </c>
      <c r="E408" s="103">
        <f>SUM(E409)</f>
        <v>100000</v>
      </c>
      <c r="F408" s="268">
        <f>SUM(F409)</f>
        <v>650000</v>
      </c>
      <c r="G408" s="268"/>
      <c r="H408" s="268"/>
      <c r="I408" s="310">
        <f t="shared" si="57"/>
        <v>0</v>
      </c>
      <c r="J408" s="310"/>
    </row>
    <row r="409" spans="1:10" s="112" customFormat="1" ht="14.25" hidden="1" x14ac:dyDescent="0.2">
      <c r="A409" s="105" t="s">
        <v>349</v>
      </c>
      <c r="B409" s="105">
        <v>93</v>
      </c>
      <c r="C409" s="145">
        <v>4213</v>
      </c>
      <c r="D409" s="146" t="s">
        <v>283</v>
      </c>
      <c r="E409" s="107">
        <v>100000</v>
      </c>
      <c r="F409" s="271">
        <v>650000</v>
      </c>
      <c r="G409" s="271"/>
      <c r="H409" s="271"/>
      <c r="I409" s="310">
        <f t="shared" si="57"/>
        <v>0</v>
      </c>
      <c r="J409" s="310"/>
    </row>
    <row r="410" spans="1:10" s="112" customFormat="1" ht="14.25" x14ac:dyDescent="0.2">
      <c r="A410" s="105" t="s">
        <v>349</v>
      </c>
      <c r="B410" s="101"/>
      <c r="C410" s="143">
        <v>45</v>
      </c>
      <c r="D410" s="144" t="s">
        <v>265</v>
      </c>
      <c r="E410" s="103">
        <f>SUM(E411)</f>
        <v>645000</v>
      </c>
      <c r="F410" s="268">
        <f>SUM(F411)</f>
        <v>150000</v>
      </c>
      <c r="G410" s="268">
        <v>200000</v>
      </c>
      <c r="H410" s="268">
        <v>500000</v>
      </c>
      <c r="I410" s="310">
        <f t="shared" si="57"/>
        <v>133.33333333333331</v>
      </c>
      <c r="J410" s="310">
        <f t="shared" si="57"/>
        <v>250</v>
      </c>
    </row>
    <row r="411" spans="1:10" s="112" customFormat="1" ht="14.25" x14ac:dyDescent="0.2">
      <c r="A411" s="105" t="s">
        <v>349</v>
      </c>
      <c r="B411" s="101"/>
      <c r="C411" s="143">
        <v>451</v>
      </c>
      <c r="D411" s="144" t="s">
        <v>103</v>
      </c>
      <c r="E411" s="103">
        <f>SUM(E412)</f>
        <v>645000</v>
      </c>
      <c r="F411" s="268">
        <f>SUM(F412)</f>
        <v>150000</v>
      </c>
      <c r="G411" s="268"/>
      <c r="H411" s="268"/>
      <c r="I411" s="310">
        <f t="shared" si="57"/>
        <v>0</v>
      </c>
      <c r="J411" s="310"/>
    </row>
    <row r="412" spans="1:10" s="112" customFormat="1" ht="14.25" hidden="1" x14ac:dyDescent="0.2">
      <c r="A412" s="105" t="s">
        <v>349</v>
      </c>
      <c r="B412" s="105">
        <v>94</v>
      </c>
      <c r="C412" s="145">
        <v>4511</v>
      </c>
      <c r="D412" s="146" t="s">
        <v>103</v>
      </c>
      <c r="E412" s="107">
        <v>645000</v>
      </c>
      <c r="F412" s="271">
        <v>150000</v>
      </c>
      <c r="G412" s="271"/>
      <c r="H412" s="271"/>
      <c r="I412" s="310">
        <f t="shared" si="57"/>
        <v>0</v>
      </c>
      <c r="J412" s="310"/>
    </row>
    <row r="413" spans="1:10" s="112" customFormat="1" ht="15" thickBot="1" x14ac:dyDescent="0.25">
      <c r="A413" s="109"/>
      <c r="B413" s="109"/>
      <c r="C413" s="152"/>
      <c r="D413" s="153"/>
      <c r="E413" s="111"/>
      <c r="F413" s="273"/>
      <c r="G413" s="273"/>
      <c r="H413" s="273"/>
      <c r="I413" s="232"/>
      <c r="J413" s="232"/>
    </row>
    <row r="414" spans="1:10" s="92" customFormat="1" ht="16.5" thickBot="1" x14ac:dyDescent="0.3">
      <c r="A414" s="789" t="s">
        <v>284</v>
      </c>
      <c r="B414" s="790"/>
      <c r="C414" s="790"/>
      <c r="D414" s="790"/>
      <c r="E414" s="201">
        <f>SUM(E418+E431+E438+E458+E465+E472)</f>
        <v>1645000</v>
      </c>
      <c r="F414" s="296">
        <f>SUM(F418+F431+F438+F448+F458+F465+F472)</f>
        <v>3510000</v>
      </c>
      <c r="G414" s="296">
        <f>SUM(G418+G431+G438+G448+G458+G465+G472)</f>
        <v>1380000</v>
      </c>
      <c r="H414" s="296">
        <f>SUM(H418+H431+H438+H448+H458+H465+H472)</f>
        <v>1570000</v>
      </c>
      <c r="I414" s="228">
        <f>AVERAGE(G414/F414*100)</f>
        <v>39.316239316239319</v>
      </c>
      <c r="J414" s="228">
        <f>AVERAGE(H414/G414*100)</f>
        <v>113.76811594202898</v>
      </c>
    </row>
    <row r="415" spans="1:10" s="104" customFormat="1" ht="15" x14ac:dyDescent="0.25">
      <c r="C415" s="202"/>
      <c r="D415" s="192"/>
      <c r="E415" s="175"/>
      <c r="F415" s="286"/>
      <c r="G415" s="286"/>
      <c r="H415" s="286"/>
      <c r="I415" s="227"/>
      <c r="J415" s="227"/>
    </row>
    <row r="416" spans="1:10" s="79" customFormat="1" ht="28.5" x14ac:dyDescent="0.25">
      <c r="A416" s="108"/>
      <c r="C416" s="174"/>
      <c r="D416" s="182" t="s">
        <v>246</v>
      </c>
      <c r="E416" s="96"/>
      <c r="F416" s="265"/>
      <c r="G416" s="265"/>
      <c r="H416" s="265"/>
      <c r="I416" s="237"/>
      <c r="J416" s="237"/>
    </row>
    <row r="417" spans="1:10" s="1" customFormat="1" ht="14.25" customHeight="1" x14ac:dyDescent="0.25">
      <c r="C417" s="187"/>
      <c r="D417" s="218" t="s">
        <v>195</v>
      </c>
      <c r="E417" s="195"/>
      <c r="F417" s="266"/>
      <c r="G417" s="294"/>
      <c r="H417" s="294"/>
      <c r="I417" s="238"/>
      <c r="J417" s="238"/>
    </row>
    <row r="418" spans="1:10" s="1" customFormat="1" ht="15" x14ac:dyDescent="0.25">
      <c r="C418" s="187"/>
      <c r="D418" s="253" t="s">
        <v>336</v>
      </c>
      <c r="E418" s="177">
        <f>SUM(E419+E424)</f>
        <v>0</v>
      </c>
      <c r="F418" s="260">
        <f>SUM(F419+F424)</f>
        <v>160000</v>
      </c>
      <c r="G418" s="260">
        <f>SUM(G419+G424)</f>
        <v>150000</v>
      </c>
      <c r="H418" s="260">
        <f>SUM(H419+H424)</f>
        <v>100000</v>
      </c>
      <c r="I418" s="312">
        <f>AVERAGE(G418/F418*100)</f>
        <v>93.75</v>
      </c>
      <c r="J418" s="312">
        <f>AVERAGE(H418/G418*100)</f>
        <v>66.666666666666657</v>
      </c>
    </row>
    <row r="419" spans="1:10" s="112" customFormat="1" ht="14.25" x14ac:dyDescent="0.2">
      <c r="A419" s="105" t="s">
        <v>313</v>
      </c>
      <c r="B419" s="101"/>
      <c r="C419" s="143">
        <v>32</v>
      </c>
      <c r="D419" s="144" t="s">
        <v>47</v>
      </c>
      <c r="E419" s="103">
        <f>SUM(E420+E422)</f>
        <v>0</v>
      </c>
      <c r="F419" s="268">
        <f>SUM(F420+F422)</f>
        <v>85000</v>
      </c>
      <c r="G419" s="268">
        <v>50000</v>
      </c>
      <c r="H419" s="268">
        <v>50000</v>
      </c>
      <c r="I419" s="310">
        <f t="shared" ref="I419:J426" si="58">AVERAGE(G419/F419*100)</f>
        <v>58.82352941176471</v>
      </c>
      <c r="J419" s="310">
        <f t="shared" si="58"/>
        <v>100</v>
      </c>
    </row>
    <row r="420" spans="1:10" s="112" customFormat="1" ht="14.25" x14ac:dyDescent="0.2">
      <c r="A420" s="105" t="s">
        <v>313</v>
      </c>
      <c r="B420" s="101"/>
      <c r="C420" s="143">
        <v>322</v>
      </c>
      <c r="D420" s="144" t="s">
        <v>52</v>
      </c>
      <c r="E420" s="103">
        <f>SUM(E421)</f>
        <v>0</v>
      </c>
      <c r="F420" s="268">
        <f>SUM(F421)</f>
        <v>15000</v>
      </c>
      <c r="G420" s="268"/>
      <c r="H420" s="268"/>
      <c r="I420" s="310">
        <f t="shared" si="58"/>
        <v>0</v>
      </c>
      <c r="J420" s="310"/>
    </row>
    <row r="421" spans="1:10" s="112" customFormat="1" ht="14.25" hidden="1" x14ac:dyDescent="0.2">
      <c r="A421" s="105" t="s">
        <v>313</v>
      </c>
      <c r="B421" s="214">
        <v>95</v>
      </c>
      <c r="C421" s="145">
        <v>3224</v>
      </c>
      <c r="D421" s="146" t="s">
        <v>189</v>
      </c>
      <c r="E421" s="203">
        <v>0</v>
      </c>
      <c r="F421" s="271">
        <v>15000</v>
      </c>
      <c r="G421" s="271"/>
      <c r="H421" s="271"/>
      <c r="I421" s="310">
        <f t="shared" si="58"/>
        <v>0</v>
      </c>
      <c r="J421" s="310"/>
    </row>
    <row r="422" spans="1:10" s="112" customFormat="1" ht="14.25" x14ac:dyDescent="0.2">
      <c r="A422" s="105" t="s">
        <v>313</v>
      </c>
      <c r="B422" s="101"/>
      <c r="C422" s="143">
        <v>323</v>
      </c>
      <c r="D422" s="144" t="s">
        <v>56</v>
      </c>
      <c r="E422" s="103">
        <f>SUM(E423)</f>
        <v>0</v>
      </c>
      <c r="F422" s="268">
        <f>SUM(F423)</f>
        <v>70000</v>
      </c>
      <c r="G422" s="268"/>
      <c r="H422" s="268"/>
      <c r="I422" s="310">
        <f t="shared" si="58"/>
        <v>0</v>
      </c>
      <c r="J422" s="310"/>
    </row>
    <row r="423" spans="1:10" s="112" customFormat="1" ht="14.25" hidden="1" x14ac:dyDescent="0.2">
      <c r="A423" s="105" t="s">
        <v>313</v>
      </c>
      <c r="B423" s="105">
        <v>96</v>
      </c>
      <c r="C423" s="145">
        <v>3232</v>
      </c>
      <c r="D423" s="146" t="s">
        <v>242</v>
      </c>
      <c r="E423" s="107">
        <v>0</v>
      </c>
      <c r="F423" s="271">
        <v>70000</v>
      </c>
      <c r="G423" s="271"/>
      <c r="H423" s="271"/>
      <c r="I423" s="310">
        <f t="shared" si="58"/>
        <v>0</v>
      </c>
      <c r="J423" s="310"/>
    </row>
    <row r="424" spans="1:10" s="112" customFormat="1" ht="14.25" x14ac:dyDescent="0.2">
      <c r="A424" s="105" t="s">
        <v>313</v>
      </c>
      <c r="B424" s="101"/>
      <c r="C424" s="143">
        <v>42</v>
      </c>
      <c r="D424" s="144" t="s">
        <v>250</v>
      </c>
      <c r="E424" s="103">
        <f>SUM(E425)</f>
        <v>0</v>
      </c>
      <c r="F424" s="268">
        <f>SUM(F425)</f>
        <v>75000</v>
      </c>
      <c r="G424" s="268">
        <v>100000</v>
      </c>
      <c r="H424" s="268">
        <v>50000</v>
      </c>
      <c r="I424" s="310">
        <f t="shared" si="58"/>
        <v>133.33333333333331</v>
      </c>
      <c r="J424" s="310">
        <f t="shared" si="58"/>
        <v>50</v>
      </c>
    </row>
    <row r="425" spans="1:10" s="112" customFormat="1" ht="14.25" x14ac:dyDescent="0.2">
      <c r="A425" s="105" t="s">
        <v>313</v>
      </c>
      <c r="B425" s="101"/>
      <c r="C425" s="143">
        <v>422</v>
      </c>
      <c r="D425" s="144" t="s">
        <v>99</v>
      </c>
      <c r="E425" s="103">
        <f>SUM(E426)</f>
        <v>0</v>
      </c>
      <c r="F425" s="268">
        <f>SUM(F426)</f>
        <v>75000</v>
      </c>
      <c r="G425" s="268"/>
      <c r="H425" s="268"/>
      <c r="I425" s="310">
        <f t="shared" si="58"/>
        <v>0</v>
      </c>
      <c r="J425" s="310"/>
    </row>
    <row r="426" spans="1:10" s="112" customFormat="1" ht="14.25" hidden="1" x14ac:dyDescent="0.2">
      <c r="A426" s="105" t="s">
        <v>313</v>
      </c>
      <c r="B426" s="105">
        <v>97</v>
      </c>
      <c r="C426" s="145">
        <v>4227</v>
      </c>
      <c r="D426" s="146" t="s">
        <v>102</v>
      </c>
      <c r="E426" s="107">
        <v>0</v>
      </c>
      <c r="F426" s="271">
        <v>75000</v>
      </c>
      <c r="G426" s="271"/>
      <c r="H426" s="271"/>
      <c r="I426" s="310">
        <f t="shared" si="58"/>
        <v>0</v>
      </c>
      <c r="J426" s="310"/>
    </row>
    <row r="427" spans="1:10" s="112" customFormat="1" ht="14.25" x14ac:dyDescent="0.2">
      <c r="A427" s="109"/>
      <c r="B427" s="109"/>
      <c r="C427" s="152"/>
      <c r="D427" s="153"/>
      <c r="E427" s="111"/>
      <c r="F427" s="273"/>
      <c r="G427" s="273"/>
      <c r="H427" s="273"/>
      <c r="I427" s="232"/>
      <c r="J427" s="232"/>
    </row>
    <row r="428" spans="1:10" s="108" customFormat="1" ht="15" x14ac:dyDescent="0.2">
      <c r="C428" s="174"/>
      <c r="D428" s="198"/>
      <c r="E428" s="199"/>
      <c r="F428" s="295"/>
      <c r="G428" s="295"/>
      <c r="H428" s="295"/>
      <c r="I428" s="227"/>
      <c r="J428" s="227"/>
    </row>
    <row r="429" spans="1:10" s="79" customFormat="1" ht="30" customHeight="1" x14ac:dyDescent="0.25">
      <c r="A429" s="108"/>
      <c r="C429" s="174"/>
      <c r="D429" s="182" t="s">
        <v>246</v>
      </c>
      <c r="E429" s="96"/>
      <c r="F429" s="265"/>
      <c r="G429" s="265"/>
      <c r="H429" s="265"/>
      <c r="I429" s="237"/>
      <c r="J429" s="237"/>
    </row>
    <row r="430" spans="1:10" s="1" customFormat="1" ht="14.25" customHeight="1" x14ac:dyDescent="0.25">
      <c r="C430" s="187"/>
      <c r="D430" s="218" t="s">
        <v>254</v>
      </c>
      <c r="E430" s="195"/>
      <c r="F430" s="266"/>
      <c r="G430" s="294"/>
      <c r="H430" s="294"/>
      <c r="I430" s="238"/>
      <c r="J430" s="238"/>
    </row>
    <row r="431" spans="1:10" s="1" customFormat="1" ht="15" x14ac:dyDescent="0.25">
      <c r="C431" s="187"/>
      <c r="D431" s="252" t="s">
        <v>337</v>
      </c>
      <c r="E431" s="177">
        <f t="shared" ref="E431:H433" si="59">SUM(E432)</f>
        <v>350000</v>
      </c>
      <c r="F431" s="260">
        <f t="shared" si="59"/>
        <v>1000000</v>
      </c>
      <c r="G431" s="260">
        <f t="shared" si="59"/>
        <v>500000</v>
      </c>
      <c r="H431" s="260">
        <f t="shared" si="59"/>
        <v>200000</v>
      </c>
      <c r="I431" s="312">
        <f>AVERAGE(G431/F431*100)</f>
        <v>50</v>
      </c>
      <c r="J431" s="312">
        <f>AVERAGE(H431/G431*100)</f>
        <v>40</v>
      </c>
    </row>
    <row r="432" spans="1:10" s="112" customFormat="1" ht="14.25" x14ac:dyDescent="0.2">
      <c r="A432" s="105" t="s">
        <v>350</v>
      </c>
      <c r="B432" s="101"/>
      <c r="C432" s="143">
        <v>42</v>
      </c>
      <c r="D432" s="144" t="s">
        <v>250</v>
      </c>
      <c r="E432" s="103">
        <f t="shared" si="59"/>
        <v>350000</v>
      </c>
      <c r="F432" s="268">
        <f t="shared" si="59"/>
        <v>1000000</v>
      </c>
      <c r="G432" s="268">
        <v>500000</v>
      </c>
      <c r="H432" s="268">
        <v>200000</v>
      </c>
      <c r="I432" s="310">
        <f t="shared" ref="I432:J434" si="60">AVERAGE(G432/F432*100)</f>
        <v>50</v>
      </c>
      <c r="J432" s="310">
        <f t="shared" si="60"/>
        <v>40</v>
      </c>
    </row>
    <row r="433" spans="1:10" s="112" customFormat="1" ht="14.25" x14ac:dyDescent="0.2">
      <c r="A433" s="105" t="s">
        <v>350</v>
      </c>
      <c r="B433" s="101"/>
      <c r="C433" s="143">
        <v>421</v>
      </c>
      <c r="D433" s="144" t="s">
        <v>97</v>
      </c>
      <c r="E433" s="103">
        <f t="shared" si="59"/>
        <v>350000</v>
      </c>
      <c r="F433" s="268">
        <f t="shared" si="59"/>
        <v>1000000</v>
      </c>
      <c r="G433" s="268"/>
      <c r="H433" s="268"/>
      <c r="I433" s="310">
        <f t="shared" si="60"/>
        <v>0</v>
      </c>
      <c r="J433" s="310"/>
    </row>
    <row r="434" spans="1:10" s="112" customFormat="1" ht="14.25" hidden="1" x14ac:dyDescent="0.2">
      <c r="A434" s="105" t="s">
        <v>350</v>
      </c>
      <c r="B434" s="105">
        <v>98</v>
      </c>
      <c r="C434" s="145">
        <v>4212</v>
      </c>
      <c r="D434" s="146" t="s">
        <v>98</v>
      </c>
      <c r="E434" s="107">
        <v>350000</v>
      </c>
      <c r="F434" s="271">
        <v>1000000</v>
      </c>
      <c r="G434" s="271"/>
      <c r="H434" s="271"/>
      <c r="I434" s="310">
        <f t="shared" si="60"/>
        <v>0</v>
      </c>
      <c r="J434" s="310"/>
    </row>
    <row r="435" spans="1:10" s="112" customFormat="1" ht="14.25" x14ac:dyDescent="0.2">
      <c r="A435" s="109"/>
      <c r="B435" s="109"/>
      <c r="C435" s="152"/>
      <c r="D435" s="153"/>
      <c r="E435" s="111"/>
      <c r="F435" s="273"/>
      <c r="G435" s="273"/>
      <c r="H435" s="273"/>
      <c r="I435" s="232"/>
      <c r="J435" s="232"/>
    </row>
    <row r="436" spans="1:10" s="1" customFormat="1" ht="15" x14ac:dyDescent="0.25">
      <c r="C436" s="187"/>
      <c r="D436" s="193" t="s">
        <v>342</v>
      </c>
      <c r="E436" s="96"/>
      <c r="F436" s="265"/>
      <c r="G436" s="265"/>
      <c r="H436" s="265"/>
      <c r="I436" s="237"/>
      <c r="J436" s="237"/>
    </row>
    <row r="437" spans="1:10" s="1" customFormat="1" ht="14.25" customHeight="1" x14ac:dyDescent="0.25">
      <c r="C437" s="187"/>
      <c r="D437" s="218" t="s">
        <v>195</v>
      </c>
      <c r="E437" s="98"/>
      <c r="F437" s="266"/>
      <c r="G437" s="294"/>
      <c r="H437" s="266"/>
      <c r="I437" s="238"/>
      <c r="J437" s="238"/>
    </row>
    <row r="438" spans="1:10" s="1" customFormat="1" ht="15" x14ac:dyDescent="0.25">
      <c r="C438" s="187"/>
      <c r="D438" s="253" t="s">
        <v>338</v>
      </c>
      <c r="E438" s="177">
        <f>SUM(E439+E442)</f>
        <v>645000</v>
      </c>
      <c r="F438" s="260">
        <f>SUM(F439+F442)</f>
        <v>1300000</v>
      </c>
      <c r="G438" s="260">
        <f>SUM(G439+G442)</f>
        <v>150000</v>
      </c>
      <c r="H438" s="260">
        <f>SUM(H439+H442)</f>
        <v>10000</v>
      </c>
      <c r="I438" s="312">
        <f>AVERAGE(G438/F438*100)</f>
        <v>11.538461538461538</v>
      </c>
      <c r="J438" s="312">
        <f>AVERAGE(H438/G438*100)</f>
        <v>6.666666666666667</v>
      </c>
    </row>
    <row r="439" spans="1:10" s="112" customFormat="1" ht="14.25" x14ac:dyDescent="0.2">
      <c r="A439" s="105" t="s">
        <v>351</v>
      </c>
      <c r="B439" s="101"/>
      <c r="C439" s="143">
        <v>32</v>
      </c>
      <c r="D439" s="144" t="s">
        <v>47</v>
      </c>
      <c r="E439" s="103">
        <f>SUM(E440)</f>
        <v>0</v>
      </c>
      <c r="F439" s="268">
        <f>SUM(F440)</f>
        <v>300000</v>
      </c>
      <c r="G439" s="268">
        <v>50000</v>
      </c>
      <c r="H439" s="268">
        <v>10000</v>
      </c>
      <c r="I439" s="310">
        <f t="shared" ref="I439:J444" si="61">AVERAGE(G439/F439*100)</f>
        <v>16.666666666666664</v>
      </c>
      <c r="J439" s="310">
        <f t="shared" si="61"/>
        <v>20</v>
      </c>
    </row>
    <row r="440" spans="1:10" s="112" customFormat="1" ht="14.25" x14ac:dyDescent="0.2">
      <c r="A440" s="105" t="s">
        <v>351</v>
      </c>
      <c r="B440" s="101"/>
      <c r="C440" s="143">
        <v>323</v>
      </c>
      <c r="D440" s="144" t="s">
        <v>56</v>
      </c>
      <c r="E440" s="103">
        <f>SUM(E441)</f>
        <v>0</v>
      </c>
      <c r="F440" s="268">
        <f>SUM(F441)</f>
        <v>300000</v>
      </c>
      <c r="G440" s="268"/>
      <c r="H440" s="268"/>
      <c r="I440" s="310">
        <f t="shared" si="61"/>
        <v>0</v>
      </c>
      <c r="J440" s="310"/>
    </row>
    <row r="441" spans="1:10" s="112" customFormat="1" ht="14.25" hidden="1" x14ac:dyDescent="0.2">
      <c r="A441" s="105" t="s">
        <v>351</v>
      </c>
      <c r="B441" s="105">
        <v>99</v>
      </c>
      <c r="C441" s="145">
        <v>3232</v>
      </c>
      <c r="D441" s="146" t="s">
        <v>242</v>
      </c>
      <c r="E441" s="107">
        <v>0</v>
      </c>
      <c r="F441" s="271">
        <v>300000</v>
      </c>
      <c r="G441" s="271"/>
      <c r="H441" s="271"/>
      <c r="I441" s="310">
        <f t="shared" si="61"/>
        <v>0</v>
      </c>
      <c r="J441" s="310"/>
    </row>
    <row r="442" spans="1:10" s="112" customFormat="1" ht="14.25" x14ac:dyDescent="0.2">
      <c r="A442" s="105" t="s">
        <v>351</v>
      </c>
      <c r="B442" s="101"/>
      <c r="C442" s="143">
        <v>45</v>
      </c>
      <c r="D442" s="144" t="s">
        <v>265</v>
      </c>
      <c r="E442" s="103">
        <f t="shared" ref="E442:H443" si="62">SUM(E443)</f>
        <v>645000</v>
      </c>
      <c r="F442" s="268">
        <f t="shared" si="62"/>
        <v>1000000</v>
      </c>
      <c r="G442" s="268">
        <v>100000</v>
      </c>
      <c r="H442" s="268">
        <f t="shared" si="62"/>
        <v>0</v>
      </c>
      <c r="I442" s="310">
        <f t="shared" si="61"/>
        <v>10</v>
      </c>
      <c r="J442" s="310">
        <f t="shared" si="61"/>
        <v>0</v>
      </c>
    </row>
    <row r="443" spans="1:10" s="112" customFormat="1" ht="14.25" x14ac:dyDescent="0.2">
      <c r="A443" s="105" t="s">
        <v>351</v>
      </c>
      <c r="B443" s="101"/>
      <c r="C443" s="143">
        <v>451</v>
      </c>
      <c r="D443" s="144" t="s">
        <v>103</v>
      </c>
      <c r="E443" s="103">
        <f t="shared" si="62"/>
        <v>645000</v>
      </c>
      <c r="F443" s="268">
        <f t="shared" si="62"/>
        <v>1000000</v>
      </c>
      <c r="G443" s="268"/>
      <c r="H443" s="268"/>
      <c r="I443" s="310">
        <f t="shared" si="61"/>
        <v>0</v>
      </c>
      <c r="J443" s="310"/>
    </row>
    <row r="444" spans="1:10" s="112" customFormat="1" ht="14.25" hidden="1" x14ac:dyDescent="0.2">
      <c r="A444" s="105" t="s">
        <v>351</v>
      </c>
      <c r="B444" s="105">
        <v>100</v>
      </c>
      <c r="C444" s="145">
        <v>4511</v>
      </c>
      <c r="D444" s="146" t="s">
        <v>103</v>
      </c>
      <c r="E444" s="107">
        <v>645000</v>
      </c>
      <c r="F444" s="271">
        <v>1000000</v>
      </c>
      <c r="G444" s="271"/>
      <c r="H444" s="271"/>
      <c r="I444" s="310">
        <f t="shared" si="61"/>
        <v>0</v>
      </c>
      <c r="J444" s="310"/>
    </row>
    <row r="445" spans="1:10" s="112" customFormat="1" ht="14.25" x14ac:dyDescent="0.2">
      <c r="A445" s="109"/>
      <c r="B445" s="109"/>
      <c r="C445" s="152"/>
      <c r="D445" s="153"/>
      <c r="E445" s="111"/>
      <c r="F445" s="273"/>
      <c r="G445" s="273"/>
      <c r="H445" s="273"/>
      <c r="I445" s="232"/>
      <c r="J445" s="232"/>
    </row>
    <row r="446" spans="1:10" s="79" customFormat="1" ht="30" customHeight="1" x14ac:dyDescent="0.25">
      <c r="A446" s="108"/>
      <c r="C446" s="174"/>
      <c r="D446" s="182" t="s">
        <v>246</v>
      </c>
      <c r="E446" s="96"/>
      <c r="F446" s="265"/>
      <c r="G446" s="265"/>
      <c r="H446" s="265"/>
      <c r="I446" s="237"/>
      <c r="J446" s="237"/>
    </row>
    <row r="447" spans="1:10" s="1" customFormat="1" ht="14.25" customHeight="1" x14ac:dyDescent="0.25">
      <c r="C447" s="187"/>
      <c r="D447" s="218" t="s">
        <v>254</v>
      </c>
      <c r="E447" s="195"/>
      <c r="F447" s="266"/>
      <c r="G447" s="294"/>
      <c r="H447" s="294"/>
      <c r="I447" s="238"/>
      <c r="J447" s="238"/>
    </row>
    <row r="448" spans="1:10" s="1" customFormat="1" ht="15" x14ac:dyDescent="0.25">
      <c r="C448" s="187"/>
      <c r="D448" s="252" t="s">
        <v>353</v>
      </c>
      <c r="E448" s="177">
        <f>SUM(E449+E452)</f>
        <v>0</v>
      </c>
      <c r="F448" s="260">
        <f>SUM(F449+F452)</f>
        <v>300000</v>
      </c>
      <c r="G448" s="260">
        <f>SUM(G449+G452)</f>
        <v>100000</v>
      </c>
      <c r="H448" s="260">
        <f>SUM(H449+H452)</f>
        <v>1000000</v>
      </c>
      <c r="I448" s="312">
        <f>AVERAGE(G448/F448*100)</f>
        <v>33.333333333333329</v>
      </c>
      <c r="J448" s="312">
        <f>AVERAGE(H448/G448*100)</f>
        <v>1000</v>
      </c>
    </row>
    <row r="449" spans="1:10" s="130" customFormat="1" ht="15" x14ac:dyDescent="0.2">
      <c r="A449" s="214" t="s">
        <v>352</v>
      </c>
      <c r="B449" s="101"/>
      <c r="C449" s="143">
        <v>41</v>
      </c>
      <c r="D449" s="144" t="s">
        <v>248</v>
      </c>
      <c r="E449" s="103">
        <f t="shared" ref="E449:H450" si="63">SUM(E450)</f>
        <v>0</v>
      </c>
      <c r="F449" s="268">
        <f t="shared" si="63"/>
        <v>250000</v>
      </c>
      <c r="G449" s="268">
        <f t="shared" si="63"/>
        <v>0</v>
      </c>
      <c r="H449" s="268">
        <f t="shared" si="63"/>
        <v>0</v>
      </c>
      <c r="I449" s="310">
        <f t="shared" ref="I449:J454" si="64">AVERAGE(G449/F449*100)</f>
        <v>0</v>
      </c>
      <c r="J449" s="310"/>
    </row>
    <row r="450" spans="1:10" s="112" customFormat="1" ht="14.25" x14ac:dyDescent="0.2">
      <c r="A450" s="214" t="s">
        <v>352</v>
      </c>
      <c r="B450" s="101"/>
      <c r="C450" s="143">
        <v>411</v>
      </c>
      <c r="D450" s="144" t="s">
        <v>95</v>
      </c>
      <c r="E450" s="103">
        <f t="shared" si="63"/>
        <v>0</v>
      </c>
      <c r="F450" s="268">
        <f t="shared" si="63"/>
        <v>250000</v>
      </c>
      <c r="G450" s="268"/>
      <c r="H450" s="268"/>
      <c r="I450" s="310">
        <f t="shared" si="64"/>
        <v>0</v>
      </c>
      <c r="J450" s="310"/>
    </row>
    <row r="451" spans="1:10" s="112" customFormat="1" ht="14.25" hidden="1" x14ac:dyDescent="0.2">
      <c r="A451" s="214" t="s">
        <v>352</v>
      </c>
      <c r="B451" s="105">
        <v>101</v>
      </c>
      <c r="C451" s="145">
        <v>4111</v>
      </c>
      <c r="D451" s="146" t="s">
        <v>40</v>
      </c>
      <c r="E451" s="107">
        <v>0</v>
      </c>
      <c r="F451" s="271">
        <v>250000</v>
      </c>
      <c r="G451" s="271"/>
      <c r="H451" s="271"/>
      <c r="I451" s="310">
        <f t="shared" si="64"/>
        <v>0</v>
      </c>
      <c r="J451" s="310"/>
    </row>
    <row r="452" spans="1:10" s="112" customFormat="1" ht="14.25" x14ac:dyDescent="0.2">
      <c r="A452" s="214" t="s">
        <v>352</v>
      </c>
      <c r="B452" s="101"/>
      <c r="C452" s="143">
        <v>42</v>
      </c>
      <c r="D452" s="144" t="s">
        <v>250</v>
      </c>
      <c r="E452" s="103">
        <f>SUM(E453)</f>
        <v>0</v>
      </c>
      <c r="F452" s="268">
        <f>SUM(F453)</f>
        <v>50000</v>
      </c>
      <c r="G452" s="268">
        <v>100000</v>
      </c>
      <c r="H452" s="268">
        <v>1000000</v>
      </c>
      <c r="I452" s="310">
        <f t="shared" si="64"/>
        <v>200</v>
      </c>
      <c r="J452" s="310">
        <f t="shared" si="64"/>
        <v>1000</v>
      </c>
    </row>
    <row r="453" spans="1:10" s="112" customFormat="1" ht="14.25" x14ac:dyDescent="0.2">
      <c r="A453" s="214" t="s">
        <v>352</v>
      </c>
      <c r="B453" s="101"/>
      <c r="C453" s="143">
        <v>421</v>
      </c>
      <c r="D453" s="144" t="s">
        <v>97</v>
      </c>
      <c r="E453" s="103">
        <f>SUM(E454)</f>
        <v>0</v>
      </c>
      <c r="F453" s="268">
        <f>SUM(F454)</f>
        <v>50000</v>
      </c>
      <c r="G453" s="268"/>
      <c r="H453" s="268"/>
      <c r="I453" s="310">
        <f t="shared" si="64"/>
        <v>0</v>
      </c>
      <c r="J453" s="310"/>
    </row>
    <row r="454" spans="1:10" s="112" customFormat="1" ht="14.25" hidden="1" x14ac:dyDescent="0.2">
      <c r="A454" s="214" t="s">
        <v>352</v>
      </c>
      <c r="B454" s="105">
        <v>102</v>
      </c>
      <c r="C454" s="145">
        <v>4214</v>
      </c>
      <c r="D454" s="146" t="s">
        <v>251</v>
      </c>
      <c r="E454" s="107">
        <v>0</v>
      </c>
      <c r="F454" s="271">
        <v>50000</v>
      </c>
      <c r="G454" s="271"/>
      <c r="H454" s="271"/>
      <c r="I454" s="310">
        <f t="shared" si="64"/>
        <v>0</v>
      </c>
      <c r="J454" s="310"/>
    </row>
    <row r="455" spans="1:10" s="112" customFormat="1" ht="14.25" x14ac:dyDescent="0.2">
      <c r="A455" s="109"/>
      <c r="B455" s="109"/>
      <c r="C455" s="152"/>
      <c r="D455" s="153"/>
      <c r="E455" s="111"/>
      <c r="F455" s="273"/>
      <c r="G455" s="273"/>
      <c r="H455" s="273"/>
      <c r="I455" s="232"/>
      <c r="J455" s="232"/>
    </row>
    <row r="456" spans="1:10" s="1" customFormat="1" ht="28.5" x14ac:dyDescent="0.25">
      <c r="C456" s="187"/>
      <c r="D456" s="182" t="s">
        <v>255</v>
      </c>
      <c r="E456" s="96"/>
      <c r="F456" s="265"/>
      <c r="G456" s="265"/>
      <c r="H456" s="265"/>
      <c r="I456" s="237"/>
      <c r="J456" s="237"/>
    </row>
    <row r="457" spans="1:10" s="1" customFormat="1" ht="15" x14ac:dyDescent="0.25">
      <c r="C457" s="187"/>
      <c r="D457" s="218" t="s">
        <v>256</v>
      </c>
      <c r="E457" s="98"/>
      <c r="F457" s="266"/>
      <c r="G457" s="294"/>
      <c r="H457" s="294"/>
      <c r="I457" s="238"/>
      <c r="J457" s="238"/>
    </row>
    <row r="458" spans="1:10" s="1" customFormat="1" ht="15" x14ac:dyDescent="0.25">
      <c r="C458" s="187"/>
      <c r="D458" s="253" t="s">
        <v>354</v>
      </c>
      <c r="E458" s="177">
        <f t="shared" ref="E458:H460" si="65">SUM(E459)</f>
        <v>500000</v>
      </c>
      <c r="F458" s="260">
        <f t="shared" si="65"/>
        <v>150000</v>
      </c>
      <c r="G458" s="260">
        <f t="shared" si="65"/>
        <v>100000</v>
      </c>
      <c r="H458" s="260">
        <f t="shared" si="65"/>
        <v>100000</v>
      </c>
      <c r="I458" s="312">
        <f>AVERAGE(G458/F458*100)</f>
        <v>66.666666666666657</v>
      </c>
      <c r="J458" s="312">
        <f>AVERAGE(H458/G458*100)</f>
        <v>100</v>
      </c>
    </row>
    <row r="459" spans="1:10" s="112" customFormat="1" ht="14.25" x14ac:dyDescent="0.2">
      <c r="A459" s="214" t="s">
        <v>355</v>
      </c>
      <c r="B459" s="101"/>
      <c r="C459" s="143">
        <v>42</v>
      </c>
      <c r="D459" s="144" t="s">
        <v>250</v>
      </c>
      <c r="E459" s="103">
        <f t="shared" si="65"/>
        <v>500000</v>
      </c>
      <c r="F459" s="268">
        <f t="shared" si="65"/>
        <v>150000</v>
      </c>
      <c r="G459" s="268">
        <v>100000</v>
      </c>
      <c r="H459" s="268">
        <v>100000</v>
      </c>
      <c r="I459" s="310">
        <f t="shared" ref="I459:J461" si="66">AVERAGE(G459/F459*100)</f>
        <v>66.666666666666657</v>
      </c>
      <c r="J459" s="310">
        <f t="shared" si="66"/>
        <v>100</v>
      </c>
    </row>
    <row r="460" spans="1:10" s="112" customFormat="1" ht="14.25" x14ac:dyDescent="0.2">
      <c r="A460" s="214" t="s">
        <v>355</v>
      </c>
      <c r="B460" s="101"/>
      <c r="C460" s="143">
        <v>421</v>
      </c>
      <c r="D460" s="144" t="s">
        <v>97</v>
      </c>
      <c r="E460" s="103">
        <f t="shared" si="65"/>
        <v>500000</v>
      </c>
      <c r="F460" s="268">
        <f t="shared" si="65"/>
        <v>150000</v>
      </c>
      <c r="G460" s="268"/>
      <c r="H460" s="268"/>
      <c r="I460" s="310">
        <f t="shared" si="66"/>
        <v>0</v>
      </c>
      <c r="J460" s="310"/>
    </row>
    <row r="461" spans="1:10" s="112" customFormat="1" ht="14.25" hidden="1" x14ac:dyDescent="0.2">
      <c r="A461" s="214" t="s">
        <v>355</v>
      </c>
      <c r="B461" s="105">
        <v>103</v>
      </c>
      <c r="C461" s="145">
        <v>4214</v>
      </c>
      <c r="D461" s="146" t="s">
        <v>251</v>
      </c>
      <c r="E461" s="107">
        <v>500000</v>
      </c>
      <c r="F461" s="271">
        <v>150000</v>
      </c>
      <c r="G461" s="271"/>
      <c r="H461" s="271"/>
      <c r="I461" s="310">
        <f t="shared" si="66"/>
        <v>0</v>
      </c>
      <c r="J461" s="310"/>
    </row>
    <row r="462" spans="1:10" s="112" customFormat="1" ht="14.25" x14ac:dyDescent="0.2">
      <c r="A462" s="204"/>
      <c r="B462" s="109"/>
      <c r="C462" s="152"/>
      <c r="D462" s="153"/>
      <c r="E462" s="111"/>
      <c r="F462" s="273"/>
      <c r="G462" s="273"/>
      <c r="H462" s="273"/>
      <c r="I462" s="232"/>
      <c r="J462" s="232"/>
    </row>
    <row r="463" spans="1:10" s="1" customFormat="1" ht="15" x14ac:dyDescent="0.25">
      <c r="C463" s="187"/>
      <c r="D463" s="193" t="s">
        <v>257</v>
      </c>
      <c r="E463" s="96"/>
      <c r="F463" s="265"/>
      <c r="G463" s="265"/>
      <c r="H463" s="265"/>
      <c r="I463" s="237"/>
      <c r="J463" s="237"/>
    </row>
    <row r="464" spans="1:10" s="1" customFormat="1" ht="14.25" customHeight="1" x14ac:dyDescent="0.25">
      <c r="C464" s="187"/>
      <c r="D464" s="217" t="s">
        <v>289</v>
      </c>
      <c r="E464" s="98"/>
      <c r="F464" s="266"/>
      <c r="G464" s="294"/>
      <c r="H464" s="294"/>
      <c r="I464" s="238"/>
      <c r="J464" s="238"/>
    </row>
    <row r="465" spans="1:10" s="1" customFormat="1" ht="15" x14ac:dyDescent="0.25">
      <c r="C465" s="187"/>
      <c r="D465" s="253" t="s">
        <v>356</v>
      </c>
      <c r="E465" s="177">
        <f t="shared" ref="E465:H467" si="67">SUM(E466)</f>
        <v>50000</v>
      </c>
      <c r="F465" s="260">
        <f t="shared" si="67"/>
        <v>500000</v>
      </c>
      <c r="G465" s="260">
        <f t="shared" si="67"/>
        <v>300000</v>
      </c>
      <c r="H465" s="260">
        <f t="shared" si="67"/>
        <v>100000</v>
      </c>
      <c r="I465" s="312">
        <f>AVERAGE(G465/F465*100)</f>
        <v>60</v>
      </c>
      <c r="J465" s="312">
        <f>AVERAGE(H465/G465*100)</f>
        <v>33.333333333333329</v>
      </c>
    </row>
    <row r="466" spans="1:10" s="112" customFormat="1" ht="14.25" x14ac:dyDescent="0.2">
      <c r="A466" s="214" t="s">
        <v>357</v>
      </c>
      <c r="B466" s="101"/>
      <c r="C466" s="143">
        <v>42</v>
      </c>
      <c r="D466" s="144" t="s">
        <v>250</v>
      </c>
      <c r="E466" s="103">
        <f t="shared" si="67"/>
        <v>50000</v>
      </c>
      <c r="F466" s="268">
        <f t="shared" si="67"/>
        <v>500000</v>
      </c>
      <c r="G466" s="268">
        <v>300000</v>
      </c>
      <c r="H466" s="268">
        <v>100000</v>
      </c>
      <c r="I466" s="310">
        <f t="shared" ref="I466:J468" si="68">AVERAGE(G466/F466*100)</f>
        <v>60</v>
      </c>
      <c r="J466" s="310">
        <f t="shared" si="68"/>
        <v>33.333333333333329</v>
      </c>
    </row>
    <row r="467" spans="1:10" s="112" customFormat="1" ht="14.25" x14ac:dyDescent="0.2">
      <c r="A467" s="214" t="s">
        <v>357</v>
      </c>
      <c r="B467" s="101"/>
      <c r="C467" s="143">
        <v>421</v>
      </c>
      <c r="D467" s="144" t="s">
        <v>97</v>
      </c>
      <c r="E467" s="103">
        <f t="shared" si="67"/>
        <v>50000</v>
      </c>
      <c r="F467" s="268">
        <f t="shared" si="67"/>
        <v>500000</v>
      </c>
      <c r="G467" s="268"/>
      <c r="H467" s="268"/>
      <c r="I467" s="310">
        <f t="shared" si="68"/>
        <v>0</v>
      </c>
      <c r="J467" s="310"/>
    </row>
    <row r="468" spans="1:10" s="112" customFormat="1" ht="14.25" hidden="1" x14ac:dyDescent="0.2">
      <c r="A468" s="214" t="s">
        <v>357</v>
      </c>
      <c r="B468" s="105">
        <v>104</v>
      </c>
      <c r="C468" s="145">
        <v>4214</v>
      </c>
      <c r="D468" s="146" t="s">
        <v>251</v>
      </c>
      <c r="E468" s="107">
        <v>50000</v>
      </c>
      <c r="F468" s="271">
        <v>500000</v>
      </c>
      <c r="G468" s="271"/>
      <c r="H468" s="271"/>
      <c r="I468" s="310">
        <f t="shared" si="68"/>
        <v>0</v>
      </c>
      <c r="J468" s="310"/>
    </row>
    <row r="469" spans="1:10" s="112" customFormat="1" ht="14.25" x14ac:dyDescent="0.2">
      <c r="A469" s="109"/>
      <c r="B469" s="109"/>
      <c r="C469" s="152"/>
      <c r="D469" s="153"/>
      <c r="E469" s="111"/>
      <c r="F469" s="273"/>
      <c r="G469" s="273"/>
      <c r="H469" s="273"/>
      <c r="I469" s="232"/>
      <c r="J469" s="232"/>
    </row>
    <row r="470" spans="1:10" s="1" customFormat="1" ht="15" x14ac:dyDescent="0.25">
      <c r="C470" s="187"/>
      <c r="D470" s="193" t="s">
        <v>257</v>
      </c>
      <c r="E470" s="96"/>
      <c r="F470" s="265"/>
      <c r="G470" s="265"/>
      <c r="H470" s="265"/>
      <c r="I470" s="237"/>
      <c r="J470" s="237"/>
    </row>
    <row r="471" spans="1:10" s="1" customFormat="1" ht="15" x14ac:dyDescent="0.25">
      <c r="C471" s="187"/>
      <c r="D471" s="218" t="s">
        <v>289</v>
      </c>
      <c r="E471" s="98"/>
      <c r="F471" s="266"/>
      <c r="G471" s="294"/>
      <c r="H471" s="294"/>
      <c r="I471" s="238"/>
      <c r="J471" s="238"/>
    </row>
    <row r="472" spans="1:10" s="1" customFormat="1" ht="15" x14ac:dyDescent="0.25">
      <c r="C472" s="187"/>
      <c r="D472" s="252" t="s">
        <v>359</v>
      </c>
      <c r="E472" s="177">
        <f t="shared" ref="E472:H474" si="69">SUM(E473)</f>
        <v>100000</v>
      </c>
      <c r="F472" s="260">
        <f t="shared" si="69"/>
        <v>100000</v>
      </c>
      <c r="G472" s="260">
        <f t="shared" si="69"/>
        <v>80000</v>
      </c>
      <c r="H472" s="260">
        <f t="shared" si="69"/>
        <v>60000</v>
      </c>
      <c r="I472" s="312">
        <f>AVERAGE(G472/F472*100)</f>
        <v>80</v>
      </c>
      <c r="J472" s="312">
        <f>AVERAGE(H472/G472*100)</f>
        <v>75</v>
      </c>
    </row>
    <row r="473" spans="1:10" s="112" customFormat="1" ht="14.25" x14ac:dyDescent="0.2">
      <c r="A473" s="105" t="s">
        <v>358</v>
      </c>
      <c r="B473" s="101"/>
      <c r="C473" s="143">
        <v>42</v>
      </c>
      <c r="D473" s="144" t="s">
        <v>250</v>
      </c>
      <c r="E473" s="103">
        <f t="shared" si="69"/>
        <v>100000</v>
      </c>
      <c r="F473" s="268">
        <f t="shared" si="69"/>
        <v>100000</v>
      </c>
      <c r="G473" s="268">
        <v>80000</v>
      </c>
      <c r="H473" s="268">
        <v>60000</v>
      </c>
      <c r="I473" s="310">
        <f t="shared" ref="I473:J475" si="70">AVERAGE(G473/F473*100)</f>
        <v>80</v>
      </c>
      <c r="J473" s="310">
        <f t="shared" si="70"/>
        <v>75</v>
      </c>
    </row>
    <row r="474" spans="1:10" s="112" customFormat="1" ht="14.25" x14ac:dyDescent="0.2">
      <c r="A474" s="105" t="s">
        <v>358</v>
      </c>
      <c r="B474" s="101"/>
      <c r="C474" s="143">
        <v>421</v>
      </c>
      <c r="D474" s="144" t="s">
        <v>97</v>
      </c>
      <c r="E474" s="103">
        <f t="shared" si="69"/>
        <v>100000</v>
      </c>
      <c r="F474" s="268">
        <f t="shared" si="69"/>
        <v>100000</v>
      </c>
      <c r="G474" s="268"/>
      <c r="H474" s="268"/>
      <c r="I474" s="310">
        <f t="shared" si="70"/>
        <v>0</v>
      </c>
      <c r="J474" s="310"/>
    </row>
    <row r="475" spans="1:10" s="112" customFormat="1" ht="14.25" hidden="1" x14ac:dyDescent="0.2">
      <c r="A475" s="105" t="s">
        <v>358</v>
      </c>
      <c r="B475" s="105">
        <v>105</v>
      </c>
      <c r="C475" s="145">
        <v>42145</v>
      </c>
      <c r="D475" s="146" t="s">
        <v>251</v>
      </c>
      <c r="E475" s="107">
        <v>100000</v>
      </c>
      <c r="F475" s="271">
        <v>100000</v>
      </c>
      <c r="G475" s="271"/>
      <c r="H475" s="271"/>
      <c r="I475" s="310">
        <f t="shared" si="70"/>
        <v>0</v>
      </c>
      <c r="J475" s="310"/>
    </row>
    <row r="476" spans="1:10" s="108" customFormat="1" ht="15" thickBot="1" x14ac:dyDescent="0.25">
      <c r="C476" s="205"/>
      <c r="D476" s="206"/>
      <c r="E476" s="199"/>
      <c r="F476" s="295"/>
      <c r="G476" s="295"/>
      <c r="H476" s="295"/>
      <c r="I476" s="227"/>
      <c r="J476" s="227"/>
    </row>
    <row r="477" spans="1:10" s="190" customFormat="1" ht="17.25" thickBot="1" x14ac:dyDescent="0.3">
      <c r="A477" s="806" t="s">
        <v>258</v>
      </c>
      <c r="B477" s="807"/>
      <c r="C477" s="807"/>
      <c r="D477" s="807"/>
      <c r="E477" s="196">
        <f>SUM(E479)</f>
        <v>0</v>
      </c>
      <c r="F477" s="261">
        <f>SUM(F479)</f>
        <v>50000</v>
      </c>
      <c r="G477" s="261">
        <f>SUM(G479)</f>
        <v>0</v>
      </c>
      <c r="H477" s="261">
        <f>SUM(H479)</f>
        <v>0</v>
      </c>
      <c r="I477" s="226">
        <f>AVERAGE(G477/F477*100)</f>
        <v>0</v>
      </c>
      <c r="J477" s="226">
        <v>0</v>
      </c>
    </row>
    <row r="478" spans="1:10" s="190" customFormat="1" ht="17.25" thickBot="1" x14ac:dyDescent="0.3">
      <c r="A478" s="200"/>
      <c r="B478" s="200"/>
      <c r="C478" s="200"/>
      <c r="D478" s="200"/>
      <c r="E478" s="172"/>
      <c r="F478" s="285"/>
      <c r="G478" s="285"/>
      <c r="H478" s="285"/>
      <c r="I478" s="227"/>
      <c r="J478" s="227"/>
    </row>
    <row r="479" spans="1:10" s="79" customFormat="1" ht="16.5" thickBot="1" x14ac:dyDescent="0.3">
      <c r="A479" s="789" t="s">
        <v>259</v>
      </c>
      <c r="B479" s="790"/>
      <c r="C479" s="790"/>
      <c r="D479" s="790"/>
      <c r="E479" s="91">
        <f>SUM(E483)</f>
        <v>0</v>
      </c>
      <c r="F479" s="263">
        <f>SUM(F483)</f>
        <v>50000</v>
      </c>
      <c r="G479" s="263">
        <f>SUM(G483)</f>
        <v>0</v>
      </c>
      <c r="H479" s="263">
        <f>SUM(H483)</f>
        <v>0</v>
      </c>
      <c r="I479" s="228">
        <f>AVERAGE(G479/F479*100)</f>
        <v>0</v>
      </c>
      <c r="J479" s="228">
        <v>0</v>
      </c>
    </row>
    <row r="480" spans="1:10" s="79" customFormat="1" ht="15.75" x14ac:dyDescent="0.25">
      <c r="A480" s="80"/>
      <c r="B480" s="80"/>
      <c r="C480" s="80"/>
      <c r="D480" s="80"/>
      <c r="E480" s="179"/>
      <c r="F480" s="289"/>
      <c r="G480" s="289"/>
      <c r="H480" s="289"/>
      <c r="I480" s="227"/>
      <c r="J480" s="227"/>
    </row>
    <row r="481" spans="1:10" ht="15" x14ac:dyDescent="0.25">
      <c r="B481" s="1"/>
      <c r="C481" s="187"/>
      <c r="D481" s="182" t="s">
        <v>223</v>
      </c>
      <c r="E481" s="96"/>
      <c r="F481" s="265"/>
      <c r="G481" s="265"/>
      <c r="H481" s="265"/>
      <c r="I481" s="237"/>
      <c r="J481" s="237"/>
    </row>
    <row r="482" spans="1:10" ht="15" x14ac:dyDescent="0.25">
      <c r="B482" s="1"/>
      <c r="C482" s="187"/>
      <c r="D482" s="218" t="s">
        <v>195</v>
      </c>
      <c r="E482" s="98"/>
      <c r="F482" s="266"/>
      <c r="G482" s="266"/>
      <c r="H482" s="266"/>
      <c r="I482" s="238"/>
      <c r="J482" s="238"/>
    </row>
    <row r="483" spans="1:10" ht="15" x14ac:dyDescent="0.25">
      <c r="B483" s="1"/>
      <c r="C483" s="187"/>
      <c r="D483" s="253" t="s">
        <v>339</v>
      </c>
      <c r="E483" s="177">
        <f t="shared" ref="E483:H485" si="71">SUM(E484)</f>
        <v>0</v>
      </c>
      <c r="F483" s="260">
        <f t="shared" si="71"/>
        <v>50000</v>
      </c>
      <c r="G483" s="260">
        <f t="shared" si="71"/>
        <v>0</v>
      </c>
      <c r="H483" s="260">
        <f t="shared" si="71"/>
        <v>0</v>
      </c>
      <c r="I483" s="312">
        <f>AVERAGE(G483/F483*100)</f>
        <v>0</v>
      </c>
      <c r="J483" s="312">
        <v>0</v>
      </c>
    </row>
    <row r="484" spans="1:10" s="112" customFormat="1" ht="14.25" x14ac:dyDescent="0.2">
      <c r="A484" s="131" t="s">
        <v>292</v>
      </c>
      <c r="B484" s="101"/>
      <c r="C484" s="143">
        <v>42</v>
      </c>
      <c r="D484" s="207" t="s">
        <v>250</v>
      </c>
      <c r="E484" s="103">
        <f t="shared" si="71"/>
        <v>0</v>
      </c>
      <c r="F484" s="268">
        <f t="shared" si="71"/>
        <v>50000</v>
      </c>
      <c r="G484" s="268">
        <f t="shared" si="71"/>
        <v>0</v>
      </c>
      <c r="H484" s="268">
        <f t="shared" si="71"/>
        <v>0</v>
      </c>
      <c r="I484" s="310">
        <f>AVERAGE(G484/F484*100)</f>
        <v>0</v>
      </c>
      <c r="J484" s="310">
        <v>0</v>
      </c>
    </row>
    <row r="485" spans="1:10" s="130" customFormat="1" ht="15" x14ac:dyDescent="0.2">
      <c r="A485" s="131" t="s">
        <v>292</v>
      </c>
      <c r="B485" s="101"/>
      <c r="C485" s="143">
        <v>426</v>
      </c>
      <c r="D485" s="144" t="s">
        <v>117</v>
      </c>
      <c r="E485" s="103">
        <f t="shared" si="71"/>
        <v>0</v>
      </c>
      <c r="F485" s="268">
        <f t="shared" si="71"/>
        <v>50000</v>
      </c>
      <c r="G485" s="268"/>
      <c r="H485" s="268"/>
      <c r="I485" s="310">
        <f>AVERAGE(G485/F485*100)</f>
        <v>0</v>
      </c>
      <c r="J485" s="310"/>
    </row>
    <row r="486" spans="1:10" s="130" customFormat="1" ht="15" hidden="1" x14ac:dyDescent="0.2">
      <c r="A486" s="131" t="s">
        <v>292</v>
      </c>
      <c r="B486" s="105">
        <v>106</v>
      </c>
      <c r="C486" s="145">
        <v>42637</v>
      </c>
      <c r="D486" s="146" t="s">
        <v>260</v>
      </c>
      <c r="E486" s="107">
        <v>0</v>
      </c>
      <c r="F486" s="271">
        <v>50000</v>
      </c>
      <c r="G486" s="271"/>
      <c r="H486" s="271"/>
      <c r="I486" s="310">
        <f>AVERAGE(G486/F486*100)</f>
        <v>0</v>
      </c>
      <c r="J486" s="310"/>
    </row>
    <row r="487" spans="1:10" s="130" customFormat="1" ht="15.75" thickBot="1" x14ac:dyDescent="0.25">
      <c r="A487" s="109"/>
      <c r="B487" s="109"/>
      <c r="C487" s="152"/>
      <c r="D487" s="153"/>
      <c r="E487" s="111"/>
      <c r="F487" s="273"/>
      <c r="G487" s="273"/>
      <c r="H487" s="273"/>
      <c r="I487" s="232"/>
      <c r="J487" s="232"/>
    </row>
    <row r="488" spans="1:10" s="190" customFormat="1" ht="17.25" thickBot="1" x14ac:dyDescent="0.3">
      <c r="A488" s="806" t="s">
        <v>285</v>
      </c>
      <c r="B488" s="807"/>
      <c r="C488" s="807"/>
      <c r="D488" s="807"/>
      <c r="E488" s="196">
        <f>SUM(E490)</f>
        <v>0</v>
      </c>
      <c r="F488" s="261">
        <f>SUM(F490)</f>
        <v>10000</v>
      </c>
      <c r="G488" s="261">
        <f>SUM(G490)</f>
        <v>10000</v>
      </c>
      <c r="H488" s="261">
        <f>SUM(H490)</f>
        <v>10000</v>
      </c>
      <c r="I488" s="226">
        <f>AVERAGE(G488/F488*100)</f>
        <v>100</v>
      </c>
      <c r="J488" s="226">
        <f>AVERAGE(H488/G488*100)</f>
        <v>100</v>
      </c>
    </row>
    <row r="489" spans="1:10" s="190" customFormat="1" ht="17.25" thickBot="1" x14ac:dyDescent="0.3">
      <c r="A489" s="200"/>
      <c r="B489" s="200"/>
      <c r="C489" s="200"/>
      <c r="D489" s="200"/>
      <c r="E489" s="172"/>
      <c r="F489" s="285"/>
      <c r="G489" s="285"/>
      <c r="H489" s="285"/>
      <c r="I489" s="227"/>
      <c r="J489" s="227"/>
    </row>
    <row r="490" spans="1:10" s="79" customFormat="1" ht="16.5" thickBot="1" x14ac:dyDescent="0.3">
      <c r="A490" s="789" t="s">
        <v>286</v>
      </c>
      <c r="B490" s="790"/>
      <c r="C490" s="790"/>
      <c r="D490" s="790"/>
      <c r="E490" s="91">
        <f>SUM(E494)</f>
        <v>0</v>
      </c>
      <c r="F490" s="263">
        <f>SUM(F494)</f>
        <v>10000</v>
      </c>
      <c r="G490" s="263">
        <f>SUM(G494)</f>
        <v>10000</v>
      </c>
      <c r="H490" s="263">
        <f>SUM(H494)</f>
        <v>10000</v>
      </c>
      <c r="I490" s="228">
        <f>AVERAGE(G490/F490*100)</f>
        <v>100</v>
      </c>
      <c r="J490" s="228">
        <f>AVERAGE(H490/G490*100)</f>
        <v>100</v>
      </c>
    </row>
    <row r="491" spans="1:10" s="79" customFormat="1" ht="15.75" x14ac:dyDescent="0.25">
      <c r="A491" s="80"/>
      <c r="B491" s="80"/>
      <c r="C491" s="80"/>
      <c r="D491" s="80"/>
      <c r="E491" s="179"/>
      <c r="F491" s="289"/>
      <c r="G491" s="289"/>
      <c r="H491" s="289"/>
      <c r="I491" s="227"/>
      <c r="J491" s="227"/>
    </row>
    <row r="492" spans="1:10" ht="15" x14ac:dyDescent="0.25">
      <c r="B492" s="1"/>
      <c r="C492" s="187"/>
      <c r="D492" s="182" t="s">
        <v>223</v>
      </c>
      <c r="E492" s="96"/>
      <c r="F492" s="265"/>
      <c r="G492" s="265"/>
      <c r="H492" s="265"/>
      <c r="I492" s="237"/>
      <c r="J492" s="237"/>
    </row>
    <row r="493" spans="1:10" ht="15" x14ac:dyDescent="0.25">
      <c r="B493" s="1"/>
      <c r="C493" s="187"/>
      <c r="D493" s="218" t="s">
        <v>197</v>
      </c>
      <c r="E493" s="98"/>
      <c r="F493" s="266"/>
      <c r="G493" s="266"/>
      <c r="H493" s="266"/>
      <c r="I493" s="238"/>
      <c r="J493" s="238"/>
    </row>
    <row r="494" spans="1:10" ht="15" x14ac:dyDescent="0.25">
      <c r="B494" s="1"/>
      <c r="C494" s="187"/>
      <c r="D494" s="253" t="s">
        <v>340</v>
      </c>
      <c r="E494" s="177">
        <f t="shared" ref="E494:H496" si="72">SUM(E495)</f>
        <v>0</v>
      </c>
      <c r="F494" s="260">
        <f t="shared" si="72"/>
        <v>10000</v>
      </c>
      <c r="G494" s="260">
        <f t="shared" si="72"/>
        <v>10000</v>
      </c>
      <c r="H494" s="260">
        <f t="shared" si="72"/>
        <v>10000</v>
      </c>
      <c r="I494" s="312">
        <f>AVERAGE(G494/F494*100)</f>
        <v>100</v>
      </c>
      <c r="J494" s="312">
        <f>AVERAGE(H494/G494*100)</f>
        <v>100</v>
      </c>
    </row>
    <row r="495" spans="1:10" s="112" customFormat="1" ht="14.25" x14ac:dyDescent="0.2">
      <c r="A495" s="131" t="s">
        <v>292</v>
      </c>
      <c r="B495" s="101"/>
      <c r="C495" s="143">
        <v>32</v>
      </c>
      <c r="D495" s="207" t="s">
        <v>47</v>
      </c>
      <c r="E495" s="103">
        <f t="shared" si="72"/>
        <v>0</v>
      </c>
      <c r="F495" s="268">
        <f t="shared" si="72"/>
        <v>10000</v>
      </c>
      <c r="G495" s="268">
        <v>10000</v>
      </c>
      <c r="H495" s="268">
        <v>10000</v>
      </c>
      <c r="I495" s="310">
        <f t="shared" ref="I495:J497" si="73">AVERAGE(G495/F495*100)</f>
        <v>100</v>
      </c>
      <c r="J495" s="310">
        <f t="shared" si="73"/>
        <v>100</v>
      </c>
    </row>
    <row r="496" spans="1:10" s="130" customFormat="1" ht="15" x14ac:dyDescent="0.2">
      <c r="A496" s="131" t="s">
        <v>292</v>
      </c>
      <c r="B496" s="101"/>
      <c r="C496" s="143">
        <v>329</v>
      </c>
      <c r="D496" s="144" t="s">
        <v>65</v>
      </c>
      <c r="E496" s="103">
        <f t="shared" si="72"/>
        <v>0</v>
      </c>
      <c r="F496" s="268">
        <f t="shared" si="72"/>
        <v>10000</v>
      </c>
      <c r="G496" s="268"/>
      <c r="H496" s="268"/>
      <c r="I496" s="310">
        <f t="shared" si="73"/>
        <v>0</v>
      </c>
      <c r="J496" s="310"/>
    </row>
    <row r="497" spans="1:10" s="130" customFormat="1" ht="15" hidden="1" x14ac:dyDescent="0.2">
      <c r="A497" s="131" t="s">
        <v>292</v>
      </c>
      <c r="B497" s="105">
        <v>107</v>
      </c>
      <c r="C497" s="145">
        <v>3294</v>
      </c>
      <c r="D497" s="146" t="s">
        <v>287</v>
      </c>
      <c r="E497" s="107">
        <v>0</v>
      </c>
      <c r="F497" s="271">
        <v>10000</v>
      </c>
      <c r="G497" s="271"/>
      <c r="H497" s="271"/>
      <c r="I497" s="310">
        <f t="shared" si="73"/>
        <v>0</v>
      </c>
      <c r="J497" s="310"/>
    </row>
    <row r="498" spans="1:10" s="130" customFormat="1" ht="15.75" thickBot="1" x14ac:dyDescent="0.25">
      <c r="A498" s="109"/>
      <c r="B498" s="109"/>
      <c r="C498" s="152"/>
      <c r="D498" s="153"/>
      <c r="E498" s="111"/>
      <c r="F498" s="273"/>
      <c r="G498" s="273"/>
      <c r="H498" s="273"/>
      <c r="I498" s="232"/>
      <c r="J498" s="232"/>
    </row>
    <row r="499" spans="1:10" s="300" customFormat="1" ht="23.25" customHeight="1" thickBot="1" x14ac:dyDescent="0.25">
      <c r="A499" s="804" t="s">
        <v>110</v>
      </c>
      <c r="B499" s="805"/>
      <c r="C499" s="805"/>
      <c r="D499" s="805"/>
      <c r="E499" s="298">
        <f>SUM(E42+E10+E133+E176+E208+E253+E325+E336+E477)</f>
        <v>5608000</v>
      </c>
      <c r="F499" s="299">
        <f>SUM(F42+F10+F133+F176+F208+F253+F325+F336+F477+F488)</f>
        <v>8864000</v>
      </c>
      <c r="G499" s="299">
        <f>SUM(G42+G10+G133+G176+G208+G253+G325+G336+G477+G488)</f>
        <v>5897500</v>
      </c>
      <c r="H499" s="299">
        <f>SUM(H42+H10+H133+H176+H208+H253+H325+H336+H477+H488)</f>
        <v>6257000</v>
      </c>
      <c r="I499" s="244">
        <f>AVERAGE(G499/F499*100)</f>
        <v>66.53316787003611</v>
      </c>
      <c r="J499" s="244">
        <f>AVERAGE(H499/G499*100)</f>
        <v>106.09580330648581</v>
      </c>
    </row>
    <row r="500" spans="1:10" x14ac:dyDescent="0.2">
      <c r="B500" s="85"/>
      <c r="C500" s="85"/>
      <c r="D500" s="85"/>
      <c r="E500" s="85"/>
      <c r="F500" s="297"/>
      <c r="G500" s="306"/>
      <c r="H500" s="306"/>
      <c r="I500" s="242"/>
      <c r="J500" s="242"/>
    </row>
    <row r="501" spans="1:10" x14ac:dyDescent="0.2">
      <c r="D501" s="138"/>
    </row>
    <row r="502" spans="1:10" x14ac:dyDescent="0.2">
      <c r="D502" s="138"/>
    </row>
    <row r="503" spans="1:10" x14ac:dyDescent="0.2">
      <c r="D503" s="138"/>
    </row>
    <row r="504" spans="1:10" x14ac:dyDescent="0.2">
      <c r="D504" s="138"/>
    </row>
    <row r="505" spans="1:10" x14ac:dyDescent="0.2">
      <c r="D505" s="138"/>
    </row>
    <row r="506" spans="1:10" x14ac:dyDescent="0.2">
      <c r="D506" s="138"/>
    </row>
  </sheetData>
  <mergeCells count="40">
    <mergeCell ref="A255:D255"/>
    <mergeCell ref="A267:D267"/>
    <mergeCell ref="A302:D302"/>
    <mergeCell ref="A10:D10"/>
    <mergeCell ref="A12:D12"/>
    <mergeCell ref="A42:D42"/>
    <mergeCell ref="A44:D44"/>
    <mergeCell ref="A176:D176"/>
    <mergeCell ref="A212:C214"/>
    <mergeCell ref="D238:D239"/>
    <mergeCell ref="A244:D244"/>
    <mergeCell ref="A253:D253"/>
    <mergeCell ref="A313:D313"/>
    <mergeCell ref="A325:D325"/>
    <mergeCell ref="A327:D327"/>
    <mergeCell ref="A499:D499"/>
    <mergeCell ref="A338:D338"/>
    <mergeCell ref="A371:D371"/>
    <mergeCell ref="A414:D414"/>
    <mergeCell ref="A477:D477"/>
    <mergeCell ref="A479:D479"/>
    <mergeCell ref="A488:D488"/>
    <mergeCell ref="A490:D490"/>
    <mergeCell ref="A336:D336"/>
    <mergeCell ref="A2:J2"/>
    <mergeCell ref="A3:J3"/>
    <mergeCell ref="A27:D27"/>
    <mergeCell ref="A167:D167"/>
    <mergeCell ref="I219:I221"/>
    <mergeCell ref="A133:D133"/>
    <mergeCell ref="A135:D135"/>
    <mergeCell ref="A144:D144"/>
    <mergeCell ref="A178:D178"/>
    <mergeCell ref="D182:D183"/>
    <mergeCell ref="J219:J221"/>
    <mergeCell ref="A4:J4"/>
    <mergeCell ref="A199:D199"/>
    <mergeCell ref="A208:D208"/>
    <mergeCell ref="A210:D210"/>
    <mergeCell ref="A8:D8"/>
  </mergeCells>
  <printOptions horizontalCentered="1"/>
  <pageMargins left="0.19685039370078741" right="0.19685039370078741" top="0.28895833333333332" bottom="0.35433070866141736" header="0.12927083333333333" footer="0.31496062992125984"/>
  <pageSetup paperSize="9" scale="73" orientation="portrait" r:id="rId1"/>
  <headerFooter>
    <oddFooter>Stranica &amp;P</oddFooter>
  </headerFooter>
  <rowBreaks count="5" manualBreakCount="5">
    <brk id="114" max="9" man="1"/>
    <brk id="197" max="9" man="1"/>
    <brk id="278" max="9" man="1"/>
    <brk id="368" max="9" man="1"/>
    <brk id="4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232"/>
  <sheetViews>
    <sheetView tabSelected="1" view="pageBreakPreview" zoomScale="120" zoomScaleNormal="120" zoomScaleSheetLayoutView="120" workbookViewId="0">
      <selection activeCell="P55" sqref="P55"/>
    </sheetView>
  </sheetViews>
  <sheetFormatPr defaultRowHeight="12.75" x14ac:dyDescent="0.2"/>
  <cols>
    <col min="1" max="1" width="11.28515625" customWidth="1"/>
    <col min="2" max="6" width="2.7109375" hidden="1" customWidth="1"/>
    <col min="7" max="7" width="6.5703125" hidden="1" customWidth="1"/>
    <col min="8" max="8" width="6.42578125" customWidth="1"/>
    <col min="9" max="9" width="35" customWidth="1"/>
    <col min="10" max="10" width="10.140625" hidden="1" customWidth="1"/>
    <col min="11" max="12" width="9.28515625" hidden="1" customWidth="1"/>
    <col min="13" max="14" width="9.140625" hidden="1" customWidth="1"/>
    <col min="15" max="15" width="9.42578125" style="2" customWidth="1"/>
    <col min="16" max="16" width="12.140625" style="2" customWidth="1"/>
    <col min="17" max="17" width="9.5703125" style="2" customWidth="1"/>
    <col min="18" max="18" width="7" customWidth="1"/>
  </cols>
  <sheetData>
    <row r="2" spans="1:18" ht="12.75" customHeight="1" x14ac:dyDescent="0.2">
      <c r="A2" s="829" t="s">
        <v>375</v>
      </c>
      <c r="B2" s="829"/>
      <c r="C2" s="829"/>
      <c r="D2" s="829"/>
      <c r="E2" s="829"/>
      <c r="F2" s="829"/>
      <c r="G2" s="829"/>
      <c r="H2" s="829"/>
      <c r="I2" s="829"/>
    </row>
    <row r="3" spans="1:18" ht="12.75" customHeight="1" x14ac:dyDescent="0.2">
      <c r="A3" s="212" t="s">
        <v>376</v>
      </c>
      <c r="B3" s="163"/>
      <c r="C3" s="163"/>
      <c r="D3" s="163"/>
      <c r="E3" s="163"/>
      <c r="F3" s="163"/>
      <c r="G3" s="163"/>
      <c r="H3" s="163"/>
      <c r="I3" s="163"/>
    </row>
    <row r="4" spans="1:18" x14ac:dyDescent="0.2">
      <c r="A4" s="40" t="s">
        <v>377</v>
      </c>
    </row>
    <row r="5" spans="1:18" x14ac:dyDescent="0.2">
      <c r="A5" s="40"/>
    </row>
    <row r="6" spans="1:18" s="210" customFormat="1" ht="12.75" customHeight="1" x14ac:dyDescent="0.2">
      <c r="A6" s="830" t="s">
        <v>639</v>
      </c>
      <c r="B6" s="830"/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830"/>
      <c r="O6" s="830"/>
      <c r="P6" s="830"/>
      <c r="Q6" s="830"/>
      <c r="R6" s="830"/>
    </row>
    <row r="7" spans="1:18" s="211" customFormat="1" ht="15" x14ac:dyDescent="0.25">
      <c r="A7" s="831"/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</row>
    <row r="9" spans="1:18" s="116" customFormat="1" ht="15" x14ac:dyDescent="0.2">
      <c r="A9" s="832" t="s">
        <v>500</v>
      </c>
      <c r="B9" s="832"/>
      <c r="C9" s="832"/>
      <c r="D9" s="832"/>
      <c r="E9" s="832"/>
      <c r="F9" s="832"/>
      <c r="G9" s="832"/>
      <c r="H9" s="832"/>
      <c r="I9" s="832"/>
      <c r="O9" s="108"/>
      <c r="P9" s="108"/>
      <c r="Q9" s="108"/>
    </row>
    <row r="10" spans="1:18" s="1" customFormat="1" ht="13.5" thickBot="1" x14ac:dyDescent="0.25">
      <c r="A10" s="7"/>
      <c r="B10" s="7"/>
      <c r="C10" s="7"/>
      <c r="D10" s="7"/>
      <c r="E10" s="7"/>
      <c r="F10" s="7"/>
      <c r="G10" s="7"/>
      <c r="H10" s="7"/>
      <c r="I10" s="75"/>
      <c r="J10" s="7"/>
      <c r="K10" s="7"/>
      <c r="L10" s="7"/>
      <c r="M10" s="7"/>
      <c r="N10" s="7"/>
      <c r="O10" s="7"/>
      <c r="P10" s="7"/>
      <c r="Q10" s="7"/>
      <c r="R10" s="7"/>
    </row>
    <row r="11" spans="1:18" s="491" customFormat="1" x14ac:dyDescent="0.2">
      <c r="A11" s="826"/>
      <c r="B11" s="827"/>
      <c r="C11" s="827"/>
      <c r="D11" s="827"/>
      <c r="E11" s="827"/>
      <c r="F11" s="827"/>
      <c r="G11" s="828"/>
      <c r="H11" s="486"/>
      <c r="I11" s="487"/>
      <c r="J11" s="488">
        <v>1</v>
      </c>
      <c r="K11" s="489">
        <v>2</v>
      </c>
      <c r="L11" s="489">
        <v>3</v>
      </c>
      <c r="M11" s="490">
        <v>1</v>
      </c>
      <c r="N11" s="490">
        <v>1</v>
      </c>
      <c r="O11" s="578">
        <v>1</v>
      </c>
      <c r="P11" s="578">
        <v>2</v>
      </c>
      <c r="Q11" s="578">
        <v>3</v>
      </c>
      <c r="R11" s="736">
        <v>4</v>
      </c>
    </row>
    <row r="12" spans="1:18" s="479" customFormat="1" ht="39.6" customHeight="1" thickBot="1" x14ac:dyDescent="0.25">
      <c r="A12" s="500"/>
      <c r="B12" s="499" t="s">
        <v>364</v>
      </c>
      <c r="C12" s="492" t="s">
        <v>365</v>
      </c>
      <c r="D12" s="492" t="s">
        <v>366</v>
      </c>
      <c r="E12" s="492" t="s">
        <v>367</v>
      </c>
      <c r="F12" s="492" t="s">
        <v>368</v>
      </c>
      <c r="G12" s="498" t="s">
        <v>369</v>
      </c>
      <c r="H12" s="493"/>
      <c r="I12" s="494"/>
      <c r="J12" s="495" t="s">
        <v>167</v>
      </c>
      <c r="K12" s="496" t="s">
        <v>170</v>
      </c>
      <c r="L12" s="496" t="s">
        <v>169</v>
      </c>
      <c r="M12" s="497" t="s">
        <v>476</v>
      </c>
      <c r="N12" s="497" t="s">
        <v>476</v>
      </c>
      <c r="O12" s="579" t="s">
        <v>546</v>
      </c>
      <c r="P12" s="496" t="s">
        <v>626</v>
      </c>
      <c r="Q12" s="496" t="s">
        <v>627</v>
      </c>
      <c r="R12" s="737" t="s">
        <v>541</v>
      </c>
    </row>
    <row r="13" spans="1:18" s="61" customFormat="1" ht="20.45" customHeight="1" thickBot="1" x14ac:dyDescent="0.25">
      <c r="A13" s="834" t="s">
        <v>511</v>
      </c>
      <c r="B13" s="835"/>
      <c r="C13" s="835"/>
      <c r="D13" s="835"/>
      <c r="E13" s="835"/>
      <c r="F13" s="835"/>
      <c r="G13" s="835"/>
      <c r="H13" s="835"/>
      <c r="I13" s="835"/>
      <c r="J13" s="835"/>
      <c r="K13" s="835"/>
      <c r="L13" s="835"/>
      <c r="M13" s="835"/>
      <c r="N13" s="835"/>
      <c r="O13" s="835"/>
      <c r="P13" s="835"/>
      <c r="Q13" s="835"/>
      <c r="R13" s="836"/>
    </row>
    <row r="14" spans="1:18" s="571" customFormat="1" x14ac:dyDescent="0.2">
      <c r="A14" s="566"/>
      <c r="B14" s="567"/>
      <c r="C14" s="567"/>
      <c r="D14" s="567"/>
      <c r="E14" s="567"/>
      <c r="F14" s="567"/>
      <c r="G14" s="567"/>
      <c r="H14" s="568"/>
      <c r="I14" s="569" t="s">
        <v>360</v>
      </c>
      <c r="J14" s="569"/>
      <c r="K14" s="569"/>
      <c r="L14" s="569"/>
      <c r="M14" s="570">
        <f t="shared" ref="M14:O14" si="0">M15+M16</f>
        <v>10029500</v>
      </c>
      <c r="N14" s="570">
        <f t="shared" si="0"/>
        <v>1331143.406994492</v>
      </c>
      <c r="O14" s="570">
        <f t="shared" si="0"/>
        <v>3005775</v>
      </c>
      <c r="P14" s="570">
        <f t="shared" ref="P14:Q14" si="1">P15+P16</f>
        <v>444116</v>
      </c>
      <c r="Q14" s="570">
        <f t="shared" si="1"/>
        <v>3449891</v>
      </c>
      <c r="R14" s="738">
        <f>Q14/O14*100</f>
        <v>114.77542397551382</v>
      </c>
    </row>
    <row r="15" spans="1:18" s="1" customFormat="1" x14ac:dyDescent="0.2">
      <c r="A15" s="335"/>
      <c r="B15" s="336"/>
      <c r="C15" s="336" t="s">
        <v>365</v>
      </c>
      <c r="D15" s="336" t="s">
        <v>366</v>
      </c>
      <c r="E15" s="336" t="s">
        <v>367</v>
      </c>
      <c r="F15" s="336" t="s">
        <v>368</v>
      </c>
      <c r="G15" s="336"/>
      <c r="H15" s="25">
        <v>6</v>
      </c>
      <c r="I15" s="5" t="s">
        <v>1</v>
      </c>
      <c r="J15" s="12" t="e">
        <f t="shared" ref="J15:M15" si="2">SUM(J38)</f>
        <v>#REF!</v>
      </c>
      <c r="K15" s="12" t="e">
        <f t="shared" si="2"/>
        <v>#REF!</v>
      </c>
      <c r="L15" s="12" t="e">
        <f t="shared" si="2"/>
        <v>#REF!</v>
      </c>
      <c r="M15" s="11">
        <f t="shared" si="2"/>
        <v>9929500</v>
      </c>
      <c r="N15" s="11">
        <f t="shared" ref="N15:O15" si="3">SUM(N38)</f>
        <v>1317871.1261530295</v>
      </c>
      <c r="O15" s="16">
        <f t="shared" si="3"/>
        <v>2991775</v>
      </c>
      <c r="P15" s="16">
        <f t="shared" ref="P15" si="4">SUM(P38)</f>
        <v>444116</v>
      </c>
      <c r="Q15" s="16">
        <f t="shared" ref="Q15" si="5">SUM(Q38)</f>
        <v>3435891</v>
      </c>
      <c r="R15" s="739">
        <f t="shared" ref="R15:R20" si="6">Q15/O15*100</f>
        <v>114.84456551712611</v>
      </c>
    </row>
    <row r="16" spans="1:18" s="1" customFormat="1" ht="13.5" thickBot="1" x14ac:dyDescent="0.25">
      <c r="A16" s="337"/>
      <c r="B16" s="338"/>
      <c r="C16" s="338" t="s">
        <v>365</v>
      </c>
      <c r="D16" s="338"/>
      <c r="E16" s="338"/>
      <c r="F16" s="338"/>
      <c r="G16" s="338"/>
      <c r="H16" s="328">
        <v>7</v>
      </c>
      <c r="I16" s="329" t="s">
        <v>2</v>
      </c>
      <c r="J16" s="330" t="e">
        <f t="shared" ref="J16:M16" si="7">SUM(J94)</f>
        <v>#REF!</v>
      </c>
      <c r="K16" s="330" t="e">
        <f t="shared" si="7"/>
        <v>#REF!</v>
      </c>
      <c r="L16" s="330" t="e">
        <f t="shared" si="7"/>
        <v>#REF!</v>
      </c>
      <c r="M16" s="331">
        <f t="shared" si="7"/>
        <v>100000</v>
      </c>
      <c r="N16" s="331">
        <f t="shared" ref="N16:O16" si="8">SUM(N94)</f>
        <v>13272.280841462605</v>
      </c>
      <c r="O16" s="32">
        <f t="shared" si="8"/>
        <v>14000</v>
      </c>
      <c r="P16" s="32">
        <f t="shared" ref="P16" si="9">SUM(P94)</f>
        <v>0</v>
      </c>
      <c r="Q16" s="32">
        <f t="shared" ref="Q16" si="10">SUM(Q94)</f>
        <v>14000</v>
      </c>
      <c r="R16" s="739">
        <f t="shared" si="6"/>
        <v>100</v>
      </c>
    </row>
    <row r="17" spans="1:18" s="571" customFormat="1" x14ac:dyDescent="0.2">
      <c r="A17" s="566"/>
      <c r="B17" s="567"/>
      <c r="C17" s="567"/>
      <c r="D17" s="567"/>
      <c r="E17" s="567"/>
      <c r="F17" s="567"/>
      <c r="G17" s="567"/>
      <c r="H17" s="568"/>
      <c r="I17" s="569" t="s">
        <v>361</v>
      </c>
      <c r="J17" s="569"/>
      <c r="K17" s="569"/>
      <c r="L17" s="569"/>
      <c r="M17" s="570" t="e">
        <f t="shared" ref="M17:O17" si="11">M18+M19</f>
        <v>#REF!</v>
      </c>
      <c r="N17" s="570" t="e">
        <f t="shared" si="11"/>
        <v>#REF!</v>
      </c>
      <c r="O17" s="570">
        <f t="shared" si="11"/>
        <v>3685160</v>
      </c>
      <c r="P17" s="570">
        <f>P18+P19</f>
        <v>-21565</v>
      </c>
      <c r="Q17" s="570">
        <f t="shared" ref="Q17" si="12">Q18+Q19</f>
        <v>3663595</v>
      </c>
      <c r="R17" s="738">
        <f t="shared" si="6"/>
        <v>99.414815096223776</v>
      </c>
    </row>
    <row r="18" spans="1:18" s="1" customFormat="1" x14ac:dyDescent="0.2">
      <c r="A18" s="335"/>
      <c r="B18" s="336"/>
      <c r="C18" s="336" t="s">
        <v>365</v>
      </c>
      <c r="D18" s="336" t="s">
        <v>366</v>
      </c>
      <c r="E18" s="336" t="s">
        <v>367</v>
      </c>
      <c r="F18" s="336" t="s">
        <v>368</v>
      </c>
      <c r="G18" s="336"/>
      <c r="H18" s="25">
        <v>3</v>
      </c>
      <c r="I18" s="5" t="s">
        <v>3</v>
      </c>
      <c r="J18" s="12" t="e">
        <f t="shared" ref="J18:M18" si="13">SUM(J98)</f>
        <v>#REF!</v>
      </c>
      <c r="K18" s="12" t="e">
        <f t="shared" si="13"/>
        <v>#REF!</v>
      </c>
      <c r="L18" s="12" t="e">
        <f t="shared" si="13"/>
        <v>#REF!</v>
      </c>
      <c r="M18" s="11" t="e">
        <f t="shared" si="13"/>
        <v>#REF!</v>
      </c>
      <c r="N18" s="11" t="e">
        <f t="shared" ref="N18:O18" si="14">SUM(N98)</f>
        <v>#REF!</v>
      </c>
      <c r="O18" s="16">
        <f t="shared" si="14"/>
        <v>1706800</v>
      </c>
      <c r="P18" s="16">
        <f t="shared" ref="P18" si="15">SUM(P98)</f>
        <v>42585</v>
      </c>
      <c r="Q18" s="16">
        <f t="shared" ref="Q18" si="16">SUM(Q98)</f>
        <v>1749385</v>
      </c>
      <c r="R18" s="739">
        <f t="shared" si="6"/>
        <v>102.49501992031873</v>
      </c>
    </row>
    <row r="19" spans="1:18" s="1" customFormat="1" ht="13.5" thickBot="1" x14ac:dyDescent="0.25">
      <c r="A19" s="337"/>
      <c r="B19" s="338"/>
      <c r="C19" s="338" t="s">
        <v>365</v>
      </c>
      <c r="D19" s="338" t="s">
        <v>366</v>
      </c>
      <c r="E19" s="338"/>
      <c r="F19" s="338" t="s">
        <v>368</v>
      </c>
      <c r="G19" s="338"/>
      <c r="H19" s="328">
        <v>4</v>
      </c>
      <c r="I19" s="329" t="s">
        <v>4</v>
      </c>
      <c r="J19" s="330" t="e">
        <f t="shared" ref="J19:L19" si="17">SUM(J171)</f>
        <v>#REF!</v>
      </c>
      <c r="K19" s="330" t="e">
        <f t="shared" si="17"/>
        <v>#REF!</v>
      </c>
      <c r="L19" s="330" t="e">
        <f t="shared" si="17"/>
        <v>#REF!</v>
      </c>
      <c r="M19" s="331" t="e">
        <f t="shared" ref="M19:P19" si="18">SUM(M171)</f>
        <v>#REF!</v>
      </c>
      <c r="N19" s="331" t="e">
        <f t="shared" si="18"/>
        <v>#REF!</v>
      </c>
      <c r="O19" s="32">
        <f t="shared" si="18"/>
        <v>1978360</v>
      </c>
      <c r="P19" s="32">
        <f t="shared" si="18"/>
        <v>-64150</v>
      </c>
      <c r="Q19" s="32">
        <f t="shared" ref="Q19" si="19">SUM(Q171)</f>
        <v>1914210</v>
      </c>
      <c r="R19" s="739">
        <f t="shared" si="6"/>
        <v>96.757415232819099</v>
      </c>
    </row>
    <row r="20" spans="1:18" s="1" customFormat="1" x14ac:dyDescent="0.2">
      <c r="A20" s="339"/>
      <c r="B20" s="340"/>
      <c r="C20" s="340"/>
      <c r="D20" s="340"/>
      <c r="E20" s="340"/>
      <c r="F20" s="340"/>
      <c r="G20" s="340"/>
      <c r="H20" s="332"/>
      <c r="I20" s="333" t="s">
        <v>166</v>
      </c>
      <c r="J20" s="325" t="e">
        <f t="shared" ref="J20:M20" si="20">J15+J16-J18-J19</f>
        <v>#REF!</v>
      </c>
      <c r="K20" s="325" t="e">
        <f t="shared" si="20"/>
        <v>#REF!</v>
      </c>
      <c r="L20" s="325" t="e">
        <f t="shared" si="20"/>
        <v>#REF!</v>
      </c>
      <c r="M20" s="334" t="e">
        <f t="shared" si="20"/>
        <v>#REF!</v>
      </c>
      <c r="N20" s="334" t="e">
        <f t="shared" ref="N20:O20" si="21">N15+N16-N18-N19</f>
        <v>#REF!</v>
      </c>
      <c r="O20" s="17">
        <f t="shared" si="21"/>
        <v>-679385</v>
      </c>
      <c r="P20" s="17">
        <f t="shared" ref="P20" si="22">P15+P16-P18-P19</f>
        <v>465681</v>
      </c>
      <c r="Q20" s="17">
        <f t="shared" ref="Q20" si="23">Q15+Q16-Q18-Q19</f>
        <v>-213704</v>
      </c>
      <c r="R20" s="739">
        <f t="shared" si="6"/>
        <v>31.45550755462661</v>
      </c>
    </row>
    <row r="21" spans="1:18" s="1" customFormat="1" x14ac:dyDescent="0.2">
      <c r="A21" s="575"/>
      <c r="B21" s="574"/>
      <c r="C21" s="336"/>
      <c r="D21" s="336"/>
      <c r="E21" s="336"/>
      <c r="F21" s="336"/>
      <c r="G21" s="572"/>
      <c r="H21" s="573"/>
      <c r="I21" s="573"/>
      <c r="J21" s="576"/>
      <c r="K21" s="5"/>
      <c r="L21" s="14"/>
      <c r="M21" s="577"/>
      <c r="N21" s="577"/>
      <c r="O21" s="577"/>
      <c r="P21" s="577"/>
      <c r="Q21" s="577"/>
      <c r="R21" s="740"/>
    </row>
    <row r="22" spans="1:18" s="61" customFormat="1" ht="20.45" customHeight="1" x14ac:dyDescent="0.2">
      <c r="A22" s="837" t="s">
        <v>512</v>
      </c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9"/>
    </row>
    <row r="23" spans="1:18" s="1" customFormat="1" x14ac:dyDescent="0.2">
      <c r="A23" s="335"/>
      <c r="B23" s="336"/>
      <c r="C23" s="336"/>
      <c r="D23" s="336"/>
      <c r="E23" s="336"/>
      <c r="F23" s="336"/>
      <c r="G23" s="336"/>
      <c r="H23" s="25">
        <v>8</v>
      </c>
      <c r="I23" s="5" t="s">
        <v>6</v>
      </c>
      <c r="J23" s="12">
        <f t="shared" ref="J23:M23" si="24">SUM(J197)</f>
        <v>2721893</v>
      </c>
      <c r="K23" s="12">
        <f t="shared" si="24"/>
        <v>0</v>
      </c>
      <c r="L23" s="12">
        <f t="shared" si="24"/>
        <v>0</v>
      </c>
      <c r="M23" s="11">
        <f t="shared" si="24"/>
        <v>0</v>
      </c>
      <c r="N23" s="11">
        <f t="shared" ref="N23:O23" si="25">SUM(N197)</f>
        <v>0</v>
      </c>
      <c r="O23" s="16">
        <f t="shared" si="25"/>
        <v>0</v>
      </c>
      <c r="P23" s="16">
        <f t="shared" ref="P23" si="26">SUM(P197)</f>
        <v>0</v>
      </c>
      <c r="Q23" s="16">
        <f t="shared" ref="Q23" si="27">SUM(Q197)</f>
        <v>0</v>
      </c>
      <c r="R23" s="741" t="e">
        <f>Q23/O23*100</f>
        <v>#DIV/0!</v>
      </c>
    </row>
    <row r="24" spans="1:18" s="1" customFormat="1" x14ac:dyDescent="0.2">
      <c r="A24" s="335"/>
      <c r="B24" s="336"/>
      <c r="C24" s="336"/>
      <c r="D24" s="336"/>
      <c r="E24" s="336"/>
      <c r="F24" s="336"/>
      <c r="G24" s="336"/>
      <c r="H24" s="25">
        <v>5</v>
      </c>
      <c r="I24" s="5" t="s">
        <v>150</v>
      </c>
      <c r="J24" s="12">
        <f t="shared" ref="J24:M24" si="28">SUM(J204)</f>
        <v>0</v>
      </c>
      <c r="K24" s="12">
        <f t="shared" si="28"/>
        <v>0</v>
      </c>
      <c r="L24" s="12">
        <f t="shared" si="28"/>
        <v>0</v>
      </c>
      <c r="M24" s="11" t="e">
        <f t="shared" si="28"/>
        <v>#REF!</v>
      </c>
      <c r="N24" s="11" t="e">
        <f t="shared" ref="N24:O24" si="29">SUM(N204)</f>
        <v>#REF!</v>
      </c>
      <c r="O24" s="16">
        <f t="shared" si="29"/>
        <v>0</v>
      </c>
      <c r="P24" s="16">
        <f t="shared" ref="P24" si="30">SUM(P204)</f>
        <v>0</v>
      </c>
      <c r="Q24" s="16">
        <f t="shared" ref="Q24" si="31">SUM(Q204)</f>
        <v>0</v>
      </c>
      <c r="R24" s="741" t="e">
        <f t="shared" ref="R24:R25" si="32">Q24/O24*100</f>
        <v>#DIV/0!</v>
      </c>
    </row>
    <row r="25" spans="1:18" s="1" customFormat="1" x14ac:dyDescent="0.2">
      <c r="A25" s="335"/>
      <c r="B25" s="336"/>
      <c r="C25" s="336"/>
      <c r="D25" s="336"/>
      <c r="E25" s="336"/>
      <c r="F25" s="336"/>
      <c r="G25" s="336"/>
      <c r="H25" s="25"/>
      <c r="I25" s="5" t="s">
        <v>7</v>
      </c>
      <c r="J25" s="12">
        <f t="shared" ref="J25:M25" si="33">J23-J24</f>
        <v>2721893</v>
      </c>
      <c r="K25" s="12">
        <f t="shared" si="33"/>
        <v>0</v>
      </c>
      <c r="L25" s="12">
        <f t="shared" si="33"/>
        <v>0</v>
      </c>
      <c r="M25" s="11" t="e">
        <f t="shared" si="33"/>
        <v>#REF!</v>
      </c>
      <c r="N25" s="11" t="e">
        <f t="shared" ref="N25:O25" si="34">N23-N24</f>
        <v>#REF!</v>
      </c>
      <c r="O25" s="16">
        <f t="shared" si="34"/>
        <v>0</v>
      </c>
      <c r="P25" s="16">
        <f t="shared" ref="P25" si="35">P23-P24</f>
        <v>0</v>
      </c>
      <c r="Q25" s="16">
        <f t="shared" ref="Q25" si="36">Q23-Q24</f>
        <v>0</v>
      </c>
      <c r="R25" s="741" t="e">
        <f t="shared" si="32"/>
        <v>#DIV/0!</v>
      </c>
    </row>
    <row r="26" spans="1:18" s="1" customFormat="1" x14ac:dyDescent="0.2">
      <c r="A26" s="575"/>
      <c r="B26" s="574"/>
      <c r="C26" s="336"/>
      <c r="D26" s="336"/>
      <c r="E26" s="336"/>
      <c r="F26" s="336"/>
      <c r="G26" s="572"/>
      <c r="H26" s="573"/>
      <c r="I26" s="573"/>
      <c r="J26" s="576"/>
      <c r="K26" s="13"/>
      <c r="L26" s="14"/>
      <c r="M26" s="577"/>
      <c r="N26" s="577"/>
      <c r="O26" s="577"/>
      <c r="P26" s="577"/>
      <c r="Q26" s="577"/>
      <c r="R26" s="740"/>
    </row>
    <row r="27" spans="1:18" s="61" customFormat="1" ht="21.6" customHeight="1" x14ac:dyDescent="0.2">
      <c r="A27" s="840" t="s">
        <v>513</v>
      </c>
      <c r="B27" s="841"/>
      <c r="C27" s="841"/>
      <c r="D27" s="841"/>
      <c r="E27" s="841"/>
      <c r="F27" s="841"/>
      <c r="G27" s="841"/>
      <c r="H27" s="841"/>
      <c r="I27" s="841"/>
      <c r="J27" s="841"/>
      <c r="K27" s="841"/>
      <c r="L27" s="841"/>
      <c r="M27" s="841"/>
      <c r="N27" s="841"/>
      <c r="O27" s="841"/>
      <c r="P27" s="841"/>
      <c r="Q27" s="841"/>
      <c r="R27" s="842"/>
    </row>
    <row r="28" spans="1:18" s="1" customFormat="1" x14ac:dyDescent="0.2">
      <c r="A28" s="335"/>
      <c r="B28" s="336"/>
      <c r="C28" s="336"/>
      <c r="D28" s="336"/>
      <c r="E28" s="336"/>
      <c r="F28" s="336"/>
      <c r="G28" s="336"/>
      <c r="H28" s="25">
        <v>9</v>
      </c>
      <c r="I28" s="36" t="s">
        <v>473</v>
      </c>
      <c r="J28" s="12">
        <f t="shared" ref="J28:M28" si="37">SUM(J216)</f>
        <v>610476</v>
      </c>
      <c r="K28" s="12">
        <f t="shared" si="37"/>
        <v>0</v>
      </c>
      <c r="L28" s="12">
        <f t="shared" si="37"/>
        <v>0</v>
      </c>
      <c r="M28" s="11">
        <f t="shared" si="37"/>
        <v>0</v>
      </c>
      <c r="N28" s="11">
        <f t="shared" ref="N28" si="38">SUM(N216)</f>
        <v>0</v>
      </c>
      <c r="O28" s="16">
        <v>900000</v>
      </c>
      <c r="P28" s="16">
        <v>0</v>
      </c>
      <c r="Q28" s="16">
        <f>SUM(O28+P28)</f>
        <v>900000</v>
      </c>
      <c r="R28" s="742">
        <f>Q28/O28*100</f>
        <v>100</v>
      </c>
    </row>
    <row r="29" spans="1:18" s="1" customFormat="1" x14ac:dyDescent="0.2">
      <c r="A29" s="335"/>
      <c r="B29" s="336"/>
      <c r="C29" s="336"/>
      <c r="D29" s="336"/>
      <c r="E29" s="336"/>
      <c r="F29" s="336"/>
      <c r="G29" s="336"/>
      <c r="H29" s="25"/>
      <c r="I29" s="326" t="s">
        <v>472</v>
      </c>
      <c r="J29" s="13"/>
      <c r="K29" s="5"/>
      <c r="L29" s="13"/>
      <c r="M29" s="11">
        <v>0</v>
      </c>
      <c r="N29" s="16">
        <f>M29/7.5345</f>
        <v>0</v>
      </c>
      <c r="O29" s="16">
        <v>679385</v>
      </c>
      <c r="P29" s="16">
        <v>-465681</v>
      </c>
      <c r="Q29" s="16">
        <f>SUM(O29+P29)</f>
        <v>213704</v>
      </c>
      <c r="R29" s="742">
        <f>Q29/O29*100</f>
        <v>31.45550755462661</v>
      </c>
    </row>
    <row r="30" spans="1:18" s="61" customFormat="1" ht="27" customHeight="1" thickBot="1" x14ac:dyDescent="0.25">
      <c r="A30" s="341"/>
      <c r="B30" s="342"/>
      <c r="C30" s="342"/>
      <c r="D30" s="342"/>
      <c r="E30" s="342"/>
      <c r="F30" s="342"/>
      <c r="G30" s="342"/>
      <c r="H30" s="824" t="s">
        <v>9</v>
      </c>
      <c r="I30" s="825"/>
      <c r="J30" s="73" t="e">
        <f>J20+J25+J28</f>
        <v>#REF!</v>
      </c>
      <c r="K30" s="73" t="e">
        <f>K20+K25+K28</f>
        <v>#REF!</v>
      </c>
      <c r="L30" s="73" t="e">
        <f>L20+L25+L28</f>
        <v>#REF!</v>
      </c>
      <c r="M30" s="322" t="e">
        <f t="shared" ref="M30:N30" si="39">M20+M25+M29</f>
        <v>#REF!</v>
      </c>
      <c r="N30" s="322" t="e">
        <f t="shared" si="39"/>
        <v>#REF!</v>
      </c>
      <c r="O30" s="73">
        <f>O20+O25+O29</f>
        <v>0</v>
      </c>
      <c r="P30" s="73">
        <f t="shared" ref="P30:Q30" si="40">P20+P25+P29</f>
        <v>0</v>
      </c>
      <c r="Q30" s="73">
        <f t="shared" si="40"/>
        <v>0</v>
      </c>
      <c r="R30" s="743"/>
    </row>
    <row r="31" spans="1:18" s="1" customFormat="1" x14ac:dyDescent="0.2">
      <c r="A31" s="343"/>
      <c r="B31" s="343"/>
      <c r="C31" s="343"/>
      <c r="D31" s="343"/>
      <c r="E31" s="343"/>
      <c r="F31" s="343"/>
      <c r="G31" s="343"/>
      <c r="H31" s="41"/>
      <c r="I31" s="7"/>
      <c r="J31" s="42"/>
      <c r="K31" s="42"/>
      <c r="L31" s="42"/>
      <c r="M31" s="42"/>
      <c r="N31" s="42"/>
      <c r="O31" s="42"/>
      <c r="P31" s="42"/>
      <c r="Q31" s="42"/>
      <c r="R31" s="43"/>
    </row>
    <row r="32" spans="1:18" s="1" customFormat="1" ht="27.6" customHeight="1" x14ac:dyDescent="0.2">
      <c r="A32" s="833" t="s">
        <v>510</v>
      </c>
      <c r="B32" s="833"/>
      <c r="C32" s="833"/>
      <c r="D32" s="833"/>
      <c r="E32" s="833"/>
      <c r="F32" s="833"/>
      <c r="G32" s="833"/>
      <c r="H32" s="833"/>
      <c r="I32" s="833"/>
      <c r="J32" s="833"/>
      <c r="K32" s="833"/>
      <c r="L32" s="833"/>
      <c r="M32" s="833"/>
      <c r="N32" s="833"/>
      <c r="O32" s="833"/>
      <c r="P32" s="833"/>
      <c r="Q32" s="833"/>
      <c r="R32" s="833"/>
    </row>
    <row r="33" spans="1:18" ht="6.75" customHeight="1" thickBot="1" x14ac:dyDescent="0.25">
      <c r="A33" s="343"/>
      <c r="B33" s="343"/>
      <c r="C33" s="343"/>
      <c r="D33" s="343"/>
      <c r="E33" s="343"/>
      <c r="F33" s="343"/>
      <c r="G33" s="34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s="479" customFormat="1" ht="43.9" customHeight="1" thickBot="1" x14ac:dyDescent="0.25">
      <c r="A34" s="473" t="s">
        <v>499</v>
      </c>
      <c r="B34" s="474"/>
      <c r="C34" s="474"/>
      <c r="D34" s="474"/>
      <c r="E34" s="474"/>
      <c r="F34" s="474"/>
      <c r="G34" s="474"/>
      <c r="H34" s="475" t="s">
        <v>10</v>
      </c>
      <c r="I34" s="476" t="s">
        <v>11</v>
      </c>
      <c r="J34" s="477" t="s">
        <v>167</v>
      </c>
      <c r="K34" s="477" t="s">
        <v>168</v>
      </c>
      <c r="L34" s="477" t="s">
        <v>169</v>
      </c>
      <c r="M34" s="478" t="s">
        <v>476</v>
      </c>
      <c r="N34" s="478" t="s">
        <v>476</v>
      </c>
      <c r="O34" s="580" t="s">
        <v>560</v>
      </c>
      <c r="P34" s="744" t="s">
        <v>626</v>
      </c>
      <c r="Q34" s="744" t="s">
        <v>627</v>
      </c>
      <c r="R34" s="745" t="s">
        <v>628</v>
      </c>
    </row>
    <row r="35" spans="1:18" s="485" customFormat="1" ht="21" customHeight="1" thickBot="1" x14ac:dyDescent="0.25">
      <c r="A35" s="480"/>
      <c r="B35" s="481"/>
      <c r="C35" s="481"/>
      <c r="D35" s="481"/>
      <c r="E35" s="481"/>
      <c r="F35" s="481"/>
      <c r="G35" s="481"/>
      <c r="H35" s="482"/>
      <c r="I35" s="483"/>
      <c r="J35" s="484"/>
      <c r="K35" s="484"/>
      <c r="L35" s="484"/>
      <c r="M35" s="484"/>
      <c r="N35" s="484"/>
      <c r="O35" s="581">
        <v>1</v>
      </c>
      <c r="P35" s="581">
        <v>2</v>
      </c>
      <c r="Q35" s="581">
        <v>3</v>
      </c>
      <c r="R35" s="746">
        <v>4</v>
      </c>
    </row>
    <row r="36" spans="1:18" s="507" customFormat="1" ht="12" thickBot="1" x14ac:dyDescent="0.25">
      <c r="A36" s="508"/>
      <c r="B36" s="506"/>
      <c r="C36" s="506"/>
      <c r="D36" s="506"/>
      <c r="E36" s="506"/>
      <c r="F36" s="506"/>
      <c r="G36" s="506"/>
      <c r="H36" s="514"/>
      <c r="I36" s="515"/>
      <c r="J36" s="516"/>
      <c r="K36" s="516"/>
      <c r="L36" s="516"/>
      <c r="M36" s="516"/>
      <c r="N36" s="516"/>
      <c r="O36" s="582"/>
      <c r="P36" s="582"/>
      <c r="Q36" s="582"/>
      <c r="R36" s="516"/>
    </row>
    <row r="37" spans="1:18" s="40" customFormat="1" ht="16.149999999999999" customHeight="1" thickBot="1" x14ac:dyDescent="0.25">
      <c r="A37" s="509"/>
      <c r="B37" s="505"/>
      <c r="C37" s="505"/>
      <c r="D37" s="505"/>
      <c r="E37" s="505"/>
      <c r="F37" s="505"/>
      <c r="G37" s="505"/>
      <c r="H37" s="510" t="s">
        <v>0</v>
      </c>
      <c r="I37" s="511"/>
      <c r="J37" s="512"/>
      <c r="K37" s="512"/>
      <c r="L37" s="512"/>
      <c r="M37" s="512"/>
      <c r="N37" s="512"/>
      <c r="O37" s="583"/>
      <c r="P37" s="583"/>
      <c r="Q37" s="583"/>
      <c r="R37" s="513"/>
    </row>
    <row r="38" spans="1:18" s="48" customFormat="1" ht="13.5" thickBot="1" x14ac:dyDescent="0.25">
      <c r="A38" s="461"/>
      <c r="B38" s="344"/>
      <c r="C38" s="344"/>
      <c r="D38" s="344"/>
      <c r="E38" s="344"/>
      <c r="F38" s="344"/>
      <c r="G38" s="344"/>
      <c r="H38" s="45">
        <v>6</v>
      </c>
      <c r="I38" s="46" t="s">
        <v>1</v>
      </c>
      <c r="J38" s="47" t="e">
        <f>SUM(J39+J54+J64+J75+#REF!+J91)</f>
        <v>#REF!</v>
      </c>
      <c r="K38" s="47" t="e">
        <f>SUM(K39+K54+K64+K75+#REF!)</f>
        <v>#REF!</v>
      </c>
      <c r="L38" s="47" t="e">
        <f>SUM(L39+L54+L64+L75+#REF!)</f>
        <v>#REF!</v>
      </c>
      <c r="M38" s="47">
        <f t="shared" ref="M38:O38" si="41">SUM(M39+M54+M64+M75+M88+M91)</f>
        <v>9929500</v>
      </c>
      <c r="N38" s="47">
        <f t="shared" si="41"/>
        <v>1317871.1261530295</v>
      </c>
      <c r="O38" s="47">
        <f t="shared" si="41"/>
        <v>2991775</v>
      </c>
      <c r="P38" s="47">
        <f t="shared" ref="P38:Q38" si="42">SUM(P39+P54+P64+P75+P88+P91)</f>
        <v>444116</v>
      </c>
      <c r="Q38" s="47">
        <f t="shared" si="42"/>
        <v>3435891</v>
      </c>
      <c r="R38" s="747">
        <f>Q38/O38*100</f>
        <v>114.84456551712611</v>
      </c>
    </row>
    <row r="39" spans="1:18" s="65" customFormat="1" x14ac:dyDescent="0.2">
      <c r="A39" s="462"/>
      <c r="B39" s="345"/>
      <c r="C39" s="345"/>
      <c r="D39" s="345"/>
      <c r="E39" s="345"/>
      <c r="F39" s="345"/>
      <c r="G39" s="345"/>
      <c r="H39" s="62">
        <v>61</v>
      </c>
      <c r="I39" s="63" t="s">
        <v>12</v>
      </c>
      <c r="J39" s="64" t="e">
        <f>SUM(J40+#REF!+J48+J51+#REF!)</f>
        <v>#REF!</v>
      </c>
      <c r="K39" s="64" t="e">
        <f>SUM(K40+#REF!+K48+K51+#REF!)</f>
        <v>#REF!</v>
      </c>
      <c r="L39" s="64" t="e">
        <f>SUM(L40+#REF!+L48+L51+#REF!)</f>
        <v>#REF!</v>
      </c>
      <c r="M39" s="64">
        <f t="shared" ref="M39" si="43">SUM(M40+M48+M51)</f>
        <v>3691000</v>
      </c>
      <c r="N39" s="64">
        <f t="shared" ref="N39:O39" si="44">SUM(N40+N48+N51)</f>
        <v>489879.88585838472</v>
      </c>
      <c r="O39" s="64">
        <f t="shared" si="44"/>
        <v>948900</v>
      </c>
      <c r="P39" s="64">
        <f t="shared" ref="P39" si="45">SUM(P40+P48+P51)</f>
        <v>257500</v>
      </c>
      <c r="Q39" s="64">
        <f t="shared" ref="Q39" si="46">SUM(Q40+Q48+Q51)</f>
        <v>1206400</v>
      </c>
      <c r="R39" s="748">
        <f>Q39/O39*100</f>
        <v>127.13668458214775</v>
      </c>
    </row>
    <row r="40" spans="1:18" s="1" customFormat="1" x14ac:dyDescent="0.2">
      <c r="A40" s="463"/>
      <c r="B40" s="336"/>
      <c r="C40" s="336"/>
      <c r="D40" s="336"/>
      <c r="E40" s="336"/>
      <c r="F40" s="336"/>
      <c r="G40" s="336"/>
      <c r="H40" s="23">
        <v>611</v>
      </c>
      <c r="I40" s="8" t="s">
        <v>13</v>
      </c>
      <c r="J40" s="12">
        <f t="shared" ref="J40:L40" si="47">SUM(J41:J47)</f>
        <v>2154483</v>
      </c>
      <c r="K40" s="12">
        <f t="shared" si="47"/>
        <v>1910000</v>
      </c>
      <c r="L40" s="12">
        <f t="shared" si="47"/>
        <v>2210000</v>
      </c>
      <c r="M40" s="12">
        <f t="shared" ref="M40:Q40" si="48">SUM(M41:M47)</f>
        <v>3445000</v>
      </c>
      <c r="N40" s="12">
        <f t="shared" si="48"/>
        <v>457230.07498838671</v>
      </c>
      <c r="O40" s="12">
        <f t="shared" si="48"/>
        <v>881000</v>
      </c>
      <c r="P40" s="12">
        <f t="shared" si="48"/>
        <v>263500</v>
      </c>
      <c r="Q40" s="12">
        <f t="shared" si="48"/>
        <v>1144500</v>
      </c>
      <c r="R40" s="749">
        <f>Q40/O40*100</f>
        <v>129.90919409761634</v>
      </c>
    </row>
    <row r="41" spans="1:18" x14ac:dyDescent="0.2">
      <c r="A41" s="463" t="s">
        <v>536</v>
      </c>
      <c r="B41" s="336"/>
      <c r="C41" s="336"/>
      <c r="D41" s="336"/>
      <c r="E41" s="336"/>
      <c r="F41" s="336"/>
      <c r="G41" s="336"/>
      <c r="H41" s="24">
        <v>6111</v>
      </c>
      <c r="I41" s="44" t="s">
        <v>14</v>
      </c>
      <c r="J41" s="16">
        <v>1821860</v>
      </c>
      <c r="K41" s="16">
        <v>1700000</v>
      </c>
      <c r="L41" s="16">
        <v>2000000</v>
      </c>
      <c r="M41" s="16">
        <v>2800000</v>
      </c>
      <c r="N41" s="16">
        <f t="shared" ref="N41:N47" si="49">M41/7.5345</f>
        <v>371623.86356095294</v>
      </c>
      <c r="O41" s="16">
        <v>800000</v>
      </c>
      <c r="P41" s="16">
        <v>260000</v>
      </c>
      <c r="Q41" s="16">
        <f>SUM(O41+P41)</f>
        <v>1060000</v>
      </c>
      <c r="R41" s="742">
        <f t="shared" ref="R41:R53" si="50">Q41/O41*100</f>
        <v>132.5</v>
      </c>
    </row>
    <row r="42" spans="1:18" x14ac:dyDescent="0.2">
      <c r="A42" s="463" t="s">
        <v>536</v>
      </c>
      <c r="B42" s="336"/>
      <c r="C42" s="336"/>
      <c r="D42" s="336"/>
      <c r="E42" s="336"/>
      <c r="F42" s="336"/>
      <c r="G42" s="336"/>
      <c r="H42" s="24">
        <v>6112</v>
      </c>
      <c r="I42" s="44" t="s">
        <v>15</v>
      </c>
      <c r="J42" s="16">
        <v>175805</v>
      </c>
      <c r="K42" s="16">
        <v>100000</v>
      </c>
      <c r="L42" s="16">
        <v>100000</v>
      </c>
      <c r="M42" s="16">
        <v>450000</v>
      </c>
      <c r="N42" s="16">
        <f t="shared" si="49"/>
        <v>59725.263786581723</v>
      </c>
      <c r="O42" s="16">
        <v>75000</v>
      </c>
      <c r="P42" s="16">
        <v>3000</v>
      </c>
      <c r="Q42" s="16">
        <f t="shared" ref="Q42:Q47" si="51">SUM(O42+P42)</f>
        <v>78000</v>
      </c>
      <c r="R42" s="742">
        <f t="shared" si="50"/>
        <v>104</v>
      </c>
    </row>
    <row r="43" spans="1:18" x14ac:dyDescent="0.2">
      <c r="A43" s="463" t="s">
        <v>536</v>
      </c>
      <c r="B43" s="336"/>
      <c r="C43" s="336"/>
      <c r="D43" s="336"/>
      <c r="E43" s="336"/>
      <c r="F43" s="336"/>
      <c r="G43" s="336"/>
      <c r="H43" s="24">
        <v>6113</v>
      </c>
      <c r="I43" s="44" t="s">
        <v>346</v>
      </c>
      <c r="J43" s="16">
        <v>30942</v>
      </c>
      <c r="K43" s="16">
        <v>20000</v>
      </c>
      <c r="L43" s="16">
        <v>20000</v>
      </c>
      <c r="M43" s="16">
        <v>90000</v>
      </c>
      <c r="N43" s="16">
        <f t="shared" si="49"/>
        <v>11945.052757316344</v>
      </c>
      <c r="O43" s="16">
        <v>25000</v>
      </c>
      <c r="P43" s="16">
        <v>0</v>
      </c>
      <c r="Q43" s="16">
        <f t="shared" si="51"/>
        <v>25000</v>
      </c>
      <c r="R43" s="742">
        <f t="shared" si="50"/>
        <v>100</v>
      </c>
    </row>
    <row r="44" spans="1:18" x14ac:dyDescent="0.2">
      <c r="A44" s="463" t="s">
        <v>536</v>
      </c>
      <c r="B44" s="336"/>
      <c r="C44" s="336"/>
      <c r="D44" s="336"/>
      <c r="E44" s="336"/>
      <c r="F44" s="336"/>
      <c r="G44" s="336"/>
      <c r="H44" s="24">
        <v>6114</v>
      </c>
      <c r="I44" s="15" t="s">
        <v>111</v>
      </c>
      <c r="J44" s="16">
        <v>64474</v>
      </c>
      <c r="K44" s="16">
        <v>30000</v>
      </c>
      <c r="L44" s="16">
        <v>30000</v>
      </c>
      <c r="M44" s="16">
        <v>400000</v>
      </c>
      <c r="N44" s="16">
        <f t="shared" si="49"/>
        <v>53089.123365850421</v>
      </c>
      <c r="O44" s="16">
        <v>75000</v>
      </c>
      <c r="P44" s="16">
        <v>0</v>
      </c>
      <c r="Q44" s="16">
        <f t="shared" si="51"/>
        <v>75000</v>
      </c>
      <c r="R44" s="742">
        <f t="shared" si="50"/>
        <v>100</v>
      </c>
    </row>
    <row r="45" spans="1:18" x14ac:dyDescent="0.2">
      <c r="A45" s="463" t="s">
        <v>536</v>
      </c>
      <c r="B45" s="336"/>
      <c r="C45" s="336"/>
      <c r="D45" s="336"/>
      <c r="E45" s="336"/>
      <c r="F45" s="336"/>
      <c r="G45" s="336"/>
      <c r="H45" s="24">
        <v>6115</v>
      </c>
      <c r="I45" s="15" t="s">
        <v>16</v>
      </c>
      <c r="J45" s="16">
        <v>61402</v>
      </c>
      <c r="K45" s="16">
        <v>50000</v>
      </c>
      <c r="L45" s="16">
        <v>50000</v>
      </c>
      <c r="M45" s="16">
        <v>250000</v>
      </c>
      <c r="N45" s="16">
        <f t="shared" si="49"/>
        <v>33180.702103656513</v>
      </c>
      <c r="O45" s="16">
        <v>50000</v>
      </c>
      <c r="P45" s="16">
        <v>500</v>
      </c>
      <c r="Q45" s="16">
        <f t="shared" si="51"/>
        <v>50500</v>
      </c>
      <c r="R45" s="742">
        <f t="shared" si="50"/>
        <v>101</v>
      </c>
    </row>
    <row r="46" spans="1:18" x14ac:dyDescent="0.2">
      <c r="A46" s="463" t="s">
        <v>536</v>
      </c>
      <c r="B46" s="336"/>
      <c r="C46" s="336"/>
      <c r="D46" s="336"/>
      <c r="E46" s="336"/>
      <c r="F46" s="336"/>
      <c r="G46" s="336"/>
      <c r="H46" s="24">
        <v>6116</v>
      </c>
      <c r="I46" s="15" t="s">
        <v>120</v>
      </c>
      <c r="J46" s="16">
        <v>0</v>
      </c>
      <c r="K46" s="16">
        <v>10000</v>
      </c>
      <c r="L46" s="16">
        <v>10000</v>
      </c>
      <c r="M46" s="16">
        <v>5000</v>
      </c>
      <c r="N46" s="16">
        <f t="shared" si="49"/>
        <v>663.61404207313024</v>
      </c>
      <c r="O46" s="16">
        <v>1000</v>
      </c>
      <c r="P46" s="16">
        <v>-1000</v>
      </c>
      <c r="Q46" s="16">
        <f t="shared" si="51"/>
        <v>0</v>
      </c>
      <c r="R46" s="742">
        <f t="shared" si="50"/>
        <v>0</v>
      </c>
    </row>
    <row r="47" spans="1:18" x14ac:dyDescent="0.2">
      <c r="A47" s="463" t="s">
        <v>536</v>
      </c>
      <c r="B47" s="336"/>
      <c r="C47" s="336"/>
      <c r="D47" s="336"/>
      <c r="E47" s="336"/>
      <c r="F47" s="336"/>
      <c r="G47" s="336"/>
      <c r="H47" s="24">
        <v>6117</v>
      </c>
      <c r="I47" s="44" t="s">
        <v>345</v>
      </c>
      <c r="J47" s="16">
        <v>0</v>
      </c>
      <c r="K47" s="16">
        <v>0</v>
      </c>
      <c r="L47" s="16">
        <v>0</v>
      </c>
      <c r="M47" s="16">
        <v>-550000</v>
      </c>
      <c r="N47" s="16">
        <f t="shared" si="49"/>
        <v>-72997.544628044328</v>
      </c>
      <c r="O47" s="16">
        <v>-145000</v>
      </c>
      <c r="P47" s="16">
        <v>1000</v>
      </c>
      <c r="Q47" s="16">
        <f t="shared" si="51"/>
        <v>-144000</v>
      </c>
      <c r="R47" s="742">
        <f t="shared" si="50"/>
        <v>99.310344827586206</v>
      </c>
    </row>
    <row r="48" spans="1:18" s="1" customFormat="1" x14ac:dyDescent="0.2">
      <c r="A48" s="463"/>
      <c r="B48" s="336"/>
      <c r="C48" s="336"/>
      <c r="D48" s="336"/>
      <c r="E48" s="336"/>
      <c r="F48" s="336"/>
      <c r="G48" s="336"/>
      <c r="H48" s="23">
        <v>613</v>
      </c>
      <c r="I48" s="8" t="s">
        <v>17</v>
      </c>
      <c r="J48" s="12" t="e">
        <f>SUM(J49+J50)</f>
        <v>#REF!</v>
      </c>
      <c r="K48" s="12" t="e">
        <f>SUM(K49+K50)</f>
        <v>#REF!</v>
      </c>
      <c r="L48" s="12" t="e">
        <f>SUM(L49+L50)</f>
        <v>#REF!</v>
      </c>
      <c r="M48" s="12">
        <f t="shared" ref="M48:O48" si="52">M49+M50</f>
        <v>200000</v>
      </c>
      <c r="N48" s="12">
        <f t="shared" si="52"/>
        <v>26544.56168292521</v>
      </c>
      <c r="O48" s="12">
        <f t="shared" si="52"/>
        <v>60000</v>
      </c>
      <c r="P48" s="12">
        <f t="shared" ref="P48:Q48" si="53">P49+P50</f>
        <v>-6000</v>
      </c>
      <c r="Q48" s="12">
        <f t="shared" si="53"/>
        <v>54000</v>
      </c>
      <c r="R48" s="749">
        <f t="shared" si="50"/>
        <v>90</v>
      </c>
    </row>
    <row r="49" spans="1:18" x14ac:dyDescent="0.2">
      <c r="A49" s="463" t="s">
        <v>536</v>
      </c>
      <c r="B49" s="336"/>
      <c r="C49" s="336"/>
      <c r="D49" s="336"/>
      <c r="E49" s="336"/>
      <c r="F49" s="336"/>
      <c r="G49" s="336"/>
      <c r="H49" s="26">
        <v>6131</v>
      </c>
      <c r="I49" s="10" t="s">
        <v>18</v>
      </c>
      <c r="J49" s="12" t="e">
        <f>SUM(#REF!)</f>
        <v>#REF!</v>
      </c>
      <c r="K49" s="12" t="e">
        <f>SUM(#REF!)</f>
        <v>#REF!</v>
      </c>
      <c r="L49" s="12" t="e">
        <f>SUM(#REF!)</f>
        <v>#REF!</v>
      </c>
      <c r="M49" s="11">
        <v>0</v>
      </c>
      <c r="N49" s="16">
        <f>M49/7.5345</f>
        <v>0</v>
      </c>
      <c r="O49" s="16">
        <v>0</v>
      </c>
      <c r="P49" s="16">
        <v>2000</v>
      </c>
      <c r="Q49" s="16">
        <f>SUM(O49+P49)</f>
        <v>2000</v>
      </c>
      <c r="R49" s="742" t="e">
        <f t="shared" si="50"/>
        <v>#DIV/0!</v>
      </c>
    </row>
    <row r="50" spans="1:18" s="28" customFormat="1" x14ac:dyDescent="0.2">
      <c r="A50" s="463" t="s">
        <v>536</v>
      </c>
      <c r="B50" s="336"/>
      <c r="C50" s="336"/>
      <c r="D50" s="336"/>
      <c r="E50" s="336"/>
      <c r="F50" s="336"/>
      <c r="G50" s="336"/>
      <c r="H50" s="26">
        <v>6134</v>
      </c>
      <c r="I50" s="10" t="s">
        <v>19</v>
      </c>
      <c r="J50" s="11" t="e">
        <f>SUM(#REF!)</f>
        <v>#REF!</v>
      </c>
      <c r="K50" s="11" t="e">
        <f>SUM(#REF!)</f>
        <v>#REF!</v>
      </c>
      <c r="L50" s="11" t="e">
        <f>SUM(#REF!)</f>
        <v>#REF!</v>
      </c>
      <c r="M50" s="11">
        <v>200000</v>
      </c>
      <c r="N50" s="16">
        <f>M50/7.5345</f>
        <v>26544.56168292521</v>
      </c>
      <c r="O50" s="16">
        <v>60000</v>
      </c>
      <c r="P50" s="16">
        <v>-8000</v>
      </c>
      <c r="Q50" s="16">
        <f>SUM(O50+P50)</f>
        <v>52000</v>
      </c>
      <c r="R50" s="742">
        <f t="shared" si="50"/>
        <v>86.666666666666671</v>
      </c>
    </row>
    <row r="51" spans="1:18" s="1" customFormat="1" x14ac:dyDescent="0.2">
      <c r="A51" s="463"/>
      <c r="B51" s="336"/>
      <c r="C51" s="336"/>
      <c r="D51" s="336"/>
      <c r="E51" s="336"/>
      <c r="F51" s="336"/>
      <c r="G51" s="336"/>
      <c r="H51" s="23">
        <v>614</v>
      </c>
      <c r="I51" s="8" t="s">
        <v>20</v>
      </c>
      <c r="J51" s="12" t="e">
        <f t="shared" ref="J51:M51" si="54">SUM(J52+J53)</f>
        <v>#REF!</v>
      </c>
      <c r="K51" s="12" t="e">
        <f t="shared" si="54"/>
        <v>#REF!</v>
      </c>
      <c r="L51" s="12" t="e">
        <f t="shared" si="54"/>
        <v>#REF!</v>
      </c>
      <c r="M51" s="12">
        <f t="shared" si="54"/>
        <v>46000</v>
      </c>
      <c r="N51" s="12">
        <f t="shared" ref="N51:O51" si="55">SUM(N52+N53)</f>
        <v>6105.2491870727981</v>
      </c>
      <c r="O51" s="12">
        <f t="shared" si="55"/>
        <v>7900</v>
      </c>
      <c r="P51" s="12">
        <f t="shared" ref="P51" si="56">SUM(P52+P53)</f>
        <v>0</v>
      </c>
      <c r="Q51" s="12">
        <f t="shared" ref="Q51" si="57">SUM(Q52+Q53)</f>
        <v>7900</v>
      </c>
      <c r="R51" s="749">
        <f t="shared" si="50"/>
        <v>100</v>
      </c>
    </row>
    <row r="52" spans="1:18" x14ac:dyDescent="0.2">
      <c r="A52" s="463" t="s">
        <v>536</v>
      </c>
      <c r="B52" s="336"/>
      <c r="C52" s="336"/>
      <c r="D52" s="336"/>
      <c r="E52" s="336"/>
      <c r="F52" s="336"/>
      <c r="G52" s="336"/>
      <c r="H52" s="26">
        <v>6142</v>
      </c>
      <c r="I52" s="10" t="s">
        <v>21</v>
      </c>
      <c r="J52" s="11" t="e">
        <f>SUM(#REF!)</f>
        <v>#REF!</v>
      </c>
      <c r="K52" s="11" t="e">
        <f>SUM(#REF!)</f>
        <v>#REF!</v>
      </c>
      <c r="L52" s="11" t="e">
        <f>SUM(#REF!)</f>
        <v>#REF!</v>
      </c>
      <c r="M52" s="11">
        <v>45000</v>
      </c>
      <c r="N52" s="16">
        <f>M52/7.5345</f>
        <v>5972.5263786581718</v>
      </c>
      <c r="O52" s="16">
        <v>7400</v>
      </c>
      <c r="P52" s="16">
        <v>0</v>
      </c>
      <c r="Q52" s="16">
        <f>SUM(O52+P52)</f>
        <v>7400</v>
      </c>
      <c r="R52" s="742">
        <f t="shared" si="50"/>
        <v>100</v>
      </c>
    </row>
    <row r="53" spans="1:18" s="28" customFormat="1" ht="22.5" x14ac:dyDescent="0.2">
      <c r="A53" s="463" t="s">
        <v>536</v>
      </c>
      <c r="B53" s="336"/>
      <c r="C53" s="336"/>
      <c r="D53" s="336"/>
      <c r="E53" s="336"/>
      <c r="F53" s="336"/>
      <c r="G53" s="336"/>
      <c r="H53" s="26">
        <v>6145</v>
      </c>
      <c r="I53" s="10" t="s">
        <v>22</v>
      </c>
      <c r="J53" s="11" t="e">
        <f>SUM(#REF!)</f>
        <v>#REF!</v>
      </c>
      <c r="K53" s="11" t="e">
        <f>SUM(#REF!)</f>
        <v>#REF!</v>
      </c>
      <c r="L53" s="11" t="e">
        <f>SUM(#REF!)</f>
        <v>#REF!</v>
      </c>
      <c r="M53" s="11">
        <v>1000</v>
      </c>
      <c r="N53" s="16">
        <f>M53/7.5345</f>
        <v>132.72280841462606</v>
      </c>
      <c r="O53" s="16">
        <v>500</v>
      </c>
      <c r="P53" s="16">
        <v>0</v>
      </c>
      <c r="Q53" s="16">
        <f>SUM(O53+P53)</f>
        <v>500</v>
      </c>
      <c r="R53" s="742">
        <f t="shared" si="50"/>
        <v>100</v>
      </c>
    </row>
    <row r="54" spans="1:18" s="65" customFormat="1" ht="12" customHeight="1" x14ac:dyDescent="0.2">
      <c r="A54" s="464"/>
      <c r="B54" s="346"/>
      <c r="C54" s="346"/>
      <c r="D54" s="346"/>
      <c r="E54" s="346"/>
      <c r="F54" s="346"/>
      <c r="G54" s="346"/>
      <c r="H54" s="66">
        <v>63</v>
      </c>
      <c r="I54" s="67" t="s">
        <v>23</v>
      </c>
      <c r="J54" s="68" t="e">
        <f>SUM(J55+J58)</f>
        <v>#REF!</v>
      </c>
      <c r="K54" s="68" t="e">
        <f>SUM(K55+K58)</f>
        <v>#REF!</v>
      </c>
      <c r="L54" s="68" t="e">
        <f>SUM(L55+L58)</f>
        <v>#REF!</v>
      </c>
      <c r="M54" s="68">
        <f t="shared" ref="M54:O54" si="58">SUM(M55+M58+M61)</f>
        <v>4145000</v>
      </c>
      <c r="N54" s="68">
        <f t="shared" si="58"/>
        <v>550136.040878625</v>
      </c>
      <c r="O54" s="68">
        <f t="shared" si="58"/>
        <v>1601175</v>
      </c>
      <c r="P54" s="68">
        <f t="shared" ref="P54:Q54" si="59">SUM(P55+P58+P61)</f>
        <v>167816</v>
      </c>
      <c r="Q54" s="68">
        <f t="shared" si="59"/>
        <v>1768991</v>
      </c>
      <c r="R54" s="748">
        <f>Q54/O54*100</f>
        <v>110.48080316017925</v>
      </c>
    </row>
    <row r="55" spans="1:18" s="1" customFormat="1" x14ac:dyDescent="0.2">
      <c r="A55" s="463"/>
      <c r="B55" s="336"/>
      <c r="C55" s="336"/>
      <c r="D55" s="336" t="s">
        <v>366</v>
      </c>
      <c r="E55" s="336"/>
      <c r="F55" s="336"/>
      <c r="G55" s="336"/>
      <c r="H55" s="23">
        <v>633</v>
      </c>
      <c r="I55" s="8" t="s">
        <v>24</v>
      </c>
      <c r="J55" s="12">
        <f t="shared" ref="J55:M55" si="60">SUM(J56:J57)</f>
        <v>949030</v>
      </c>
      <c r="K55" s="12">
        <f t="shared" si="60"/>
        <v>800000</v>
      </c>
      <c r="L55" s="12">
        <f t="shared" si="60"/>
        <v>1280000</v>
      </c>
      <c r="M55" s="12">
        <f t="shared" si="60"/>
        <v>3700000</v>
      </c>
      <c r="N55" s="12">
        <f t="shared" ref="N55:O55" si="61">SUM(N56:N57)</f>
        <v>491074.39113411639</v>
      </c>
      <c r="O55" s="12">
        <f t="shared" si="61"/>
        <v>565700</v>
      </c>
      <c r="P55" s="12">
        <f t="shared" ref="P55" si="62">SUM(P56:P57)</f>
        <v>228405</v>
      </c>
      <c r="Q55" s="12">
        <f t="shared" ref="Q55" si="63">SUM(Q56:Q57)</f>
        <v>794105</v>
      </c>
      <c r="R55" s="749">
        <f>Q55/O55*100</f>
        <v>140.37564079901009</v>
      </c>
    </row>
    <row r="56" spans="1:18" x14ac:dyDescent="0.2">
      <c r="A56" s="463" t="s">
        <v>524</v>
      </c>
      <c r="B56" s="336"/>
      <c r="C56" s="336"/>
      <c r="D56" s="336"/>
      <c r="E56" s="336"/>
      <c r="F56" s="336"/>
      <c r="G56" s="336"/>
      <c r="H56" s="24">
        <v>6331</v>
      </c>
      <c r="I56" s="15" t="s">
        <v>378</v>
      </c>
      <c r="J56" s="16">
        <v>949030</v>
      </c>
      <c r="K56" s="16">
        <v>600000</v>
      </c>
      <c r="L56" s="16">
        <v>1180000</v>
      </c>
      <c r="M56" s="16">
        <v>2700000</v>
      </c>
      <c r="N56" s="16">
        <f>M56/7.5345</f>
        <v>358351.58271949034</v>
      </c>
      <c r="O56" s="607">
        <v>426000</v>
      </c>
      <c r="P56" s="16">
        <v>38100</v>
      </c>
      <c r="Q56" s="16">
        <f>SUM(O56+P56)</f>
        <v>464100</v>
      </c>
      <c r="R56" s="742">
        <f t="shared" ref="R56:R63" si="64">Q56/O56*100</f>
        <v>108.94366197183099</v>
      </c>
    </row>
    <row r="57" spans="1:18" x14ac:dyDescent="0.2">
      <c r="A57" s="463" t="s">
        <v>525</v>
      </c>
      <c r="B57" s="336"/>
      <c r="C57" s="336"/>
      <c r="D57" s="336"/>
      <c r="E57" s="336"/>
      <c r="F57" s="336"/>
      <c r="G57" s="336"/>
      <c r="H57" s="24">
        <v>6332</v>
      </c>
      <c r="I57" s="15" t="s">
        <v>555</v>
      </c>
      <c r="J57" s="16">
        <v>0</v>
      </c>
      <c r="K57" s="16">
        <v>200000</v>
      </c>
      <c r="L57" s="16">
        <v>100000</v>
      </c>
      <c r="M57" s="16">
        <v>1000000</v>
      </c>
      <c r="N57" s="16">
        <f>M57/7.5345</f>
        <v>132722.80841462605</v>
      </c>
      <c r="O57" s="16">
        <v>139700</v>
      </c>
      <c r="P57" s="16">
        <v>190305</v>
      </c>
      <c r="Q57" s="16">
        <f>SUM(O57+P57)</f>
        <v>330005</v>
      </c>
      <c r="R57" s="742">
        <f t="shared" si="64"/>
        <v>236.22405153901215</v>
      </c>
    </row>
    <row r="58" spans="1:18" s="1" customFormat="1" x14ac:dyDescent="0.2">
      <c r="A58" s="463"/>
      <c r="B58" s="336"/>
      <c r="C58" s="336"/>
      <c r="D58" s="336" t="s">
        <v>366</v>
      </c>
      <c r="E58" s="336"/>
      <c r="F58" s="336"/>
      <c r="G58" s="336"/>
      <c r="H58" s="23">
        <v>634</v>
      </c>
      <c r="I58" s="8" t="s">
        <v>370</v>
      </c>
      <c r="J58" s="12" t="e">
        <f>SUM(J59:J62)</f>
        <v>#REF!</v>
      </c>
      <c r="K58" s="12" t="e">
        <f>SUM(K59:K62)</f>
        <v>#REF!</v>
      </c>
      <c r="L58" s="12" t="e">
        <f>SUM(L59:L62)</f>
        <v>#REF!</v>
      </c>
      <c r="M58" s="12">
        <f t="shared" ref="M58:Q58" si="65">M59+M60</f>
        <v>80000</v>
      </c>
      <c r="N58" s="12">
        <f t="shared" si="65"/>
        <v>10617.824673170084</v>
      </c>
      <c r="O58" s="12">
        <f t="shared" si="65"/>
        <v>13000</v>
      </c>
      <c r="P58" s="12">
        <f t="shared" si="65"/>
        <v>-13000</v>
      </c>
      <c r="Q58" s="12">
        <f t="shared" si="65"/>
        <v>0</v>
      </c>
      <c r="R58" s="749">
        <f t="shared" si="64"/>
        <v>0</v>
      </c>
    </row>
    <row r="59" spans="1:18" x14ac:dyDescent="0.2">
      <c r="A59" s="463" t="s">
        <v>526</v>
      </c>
      <c r="B59" s="336"/>
      <c r="C59" s="336"/>
      <c r="D59" s="336"/>
      <c r="E59" s="336"/>
      <c r="F59" s="336"/>
      <c r="G59" s="336"/>
      <c r="H59" s="24">
        <v>6341</v>
      </c>
      <c r="I59" s="15" t="s">
        <v>373</v>
      </c>
      <c r="J59" s="16">
        <v>0</v>
      </c>
      <c r="K59" s="16">
        <v>0</v>
      </c>
      <c r="L59" s="16">
        <v>0</v>
      </c>
      <c r="M59" s="16">
        <v>80000</v>
      </c>
      <c r="N59" s="16">
        <f>M59/7.5345</f>
        <v>10617.824673170084</v>
      </c>
      <c r="O59" s="16">
        <v>13000</v>
      </c>
      <c r="P59" s="16">
        <v>-13000</v>
      </c>
      <c r="Q59" s="16">
        <f>SUM(O59+P59)</f>
        <v>0</v>
      </c>
      <c r="R59" s="742">
        <f t="shared" si="64"/>
        <v>0</v>
      </c>
    </row>
    <row r="60" spans="1:18" x14ac:dyDescent="0.2">
      <c r="A60" s="463" t="s">
        <v>527</v>
      </c>
      <c r="B60" s="336"/>
      <c r="C60" s="336"/>
      <c r="D60" s="336"/>
      <c r="E60" s="336"/>
      <c r="F60" s="336"/>
      <c r="G60" s="336"/>
      <c r="H60" s="24">
        <v>6342</v>
      </c>
      <c r="I60" s="44" t="s">
        <v>372</v>
      </c>
      <c r="J60" s="16">
        <v>0</v>
      </c>
      <c r="K60" s="16">
        <v>0</v>
      </c>
      <c r="L60" s="16">
        <v>0</v>
      </c>
      <c r="M60" s="16"/>
      <c r="N60" s="16">
        <f>M60/7.5345</f>
        <v>0</v>
      </c>
      <c r="O60" s="16">
        <v>0</v>
      </c>
      <c r="P60" s="16">
        <v>0</v>
      </c>
      <c r="Q60" s="16">
        <f>SUM(O60+P60)</f>
        <v>0</v>
      </c>
      <c r="R60" s="742" t="e">
        <f t="shared" si="64"/>
        <v>#DIV/0!</v>
      </c>
    </row>
    <row r="61" spans="1:18" s="1" customFormat="1" ht="22.5" x14ac:dyDescent="0.2">
      <c r="A61" s="463"/>
      <c r="B61" s="336"/>
      <c r="C61" s="336"/>
      <c r="D61" s="336" t="s">
        <v>366</v>
      </c>
      <c r="E61" s="336"/>
      <c r="F61" s="336"/>
      <c r="G61" s="336"/>
      <c r="H61" s="23">
        <v>638</v>
      </c>
      <c r="I61" s="8" t="s">
        <v>371</v>
      </c>
      <c r="J61" s="12" t="e">
        <f>SUM(J62:J65)</f>
        <v>#REF!</v>
      </c>
      <c r="K61" s="12" t="e">
        <f>SUM(K62:K65)</f>
        <v>#REF!</v>
      </c>
      <c r="L61" s="12" t="e">
        <f>SUM(L62:L65)</f>
        <v>#REF!</v>
      </c>
      <c r="M61" s="12">
        <f t="shared" ref="M61:O61" si="66">SUM(M62:M63)</f>
        <v>365000</v>
      </c>
      <c r="N61" s="12">
        <f t="shared" si="66"/>
        <v>48443.825071338506</v>
      </c>
      <c r="O61" s="12">
        <f t="shared" si="66"/>
        <v>1022475</v>
      </c>
      <c r="P61" s="12">
        <f t="shared" ref="P61:Q61" si="67">SUM(P62:P63)</f>
        <v>-47589</v>
      </c>
      <c r="Q61" s="12">
        <f t="shared" si="67"/>
        <v>974886</v>
      </c>
      <c r="R61" s="749">
        <f t="shared" si="64"/>
        <v>95.345705273967567</v>
      </c>
    </row>
    <row r="62" spans="1:18" ht="22.5" x14ac:dyDescent="0.2">
      <c r="A62" s="463" t="s">
        <v>522</v>
      </c>
      <c r="B62" s="336"/>
      <c r="C62" s="336"/>
      <c r="D62" s="336"/>
      <c r="E62" s="336"/>
      <c r="F62" s="336"/>
      <c r="G62" s="336"/>
      <c r="H62" s="24">
        <v>6381</v>
      </c>
      <c r="I62" s="15" t="s">
        <v>374</v>
      </c>
      <c r="J62" s="16">
        <v>0</v>
      </c>
      <c r="K62" s="16">
        <v>0</v>
      </c>
      <c r="L62" s="16">
        <v>0</v>
      </c>
      <c r="M62" s="16">
        <v>365000</v>
      </c>
      <c r="N62" s="16">
        <f>M62/7.5345</f>
        <v>48443.825071338506</v>
      </c>
      <c r="O62" s="16">
        <v>187000</v>
      </c>
      <c r="P62" s="16">
        <v>-28764</v>
      </c>
      <c r="Q62" s="16">
        <f>SUM(O62+P62)</f>
        <v>158236</v>
      </c>
      <c r="R62" s="742">
        <f t="shared" si="64"/>
        <v>84.61818181818181</v>
      </c>
    </row>
    <row r="63" spans="1:18" ht="22.5" x14ac:dyDescent="0.2">
      <c r="A63" s="463" t="s">
        <v>523</v>
      </c>
      <c r="B63" s="336"/>
      <c r="C63" s="336"/>
      <c r="D63" s="336"/>
      <c r="E63" s="336"/>
      <c r="F63" s="336"/>
      <c r="G63" s="336"/>
      <c r="H63" s="24">
        <v>6382</v>
      </c>
      <c r="I63" s="15" t="s">
        <v>379</v>
      </c>
      <c r="J63" s="16"/>
      <c r="K63" s="16"/>
      <c r="L63" s="16"/>
      <c r="M63" s="16">
        <v>0</v>
      </c>
      <c r="N63" s="16">
        <f>M63/7.5345</f>
        <v>0</v>
      </c>
      <c r="O63" s="16">
        <v>835475</v>
      </c>
      <c r="P63" s="16">
        <v>-18825</v>
      </c>
      <c r="Q63" s="16">
        <f>SUM(O63+P63)</f>
        <v>816650</v>
      </c>
      <c r="R63" s="742">
        <f t="shared" si="64"/>
        <v>97.746790747778206</v>
      </c>
    </row>
    <row r="64" spans="1:18" s="65" customFormat="1" x14ac:dyDescent="0.2">
      <c r="A64" s="464"/>
      <c r="B64" s="346"/>
      <c r="C64" s="346"/>
      <c r="D64" s="346"/>
      <c r="E64" s="346"/>
      <c r="F64" s="346"/>
      <c r="G64" s="346"/>
      <c r="H64" s="66">
        <v>64</v>
      </c>
      <c r="I64" s="67" t="s">
        <v>25</v>
      </c>
      <c r="J64" s="68" t="e">
        <f>SUM(J65+J68)</f>
        <v>#REF!</v>
      </c>
      <c r="K64" s="68" t="e">
        <f>SUM(K65,K68)</f>
        <v>#REF!</v>
      </c>
      <c r="L64" s="68" t="e">
        <f t="shared" ref="L64:O64" si="68">SUM(L65+L68)</f>
        <v>#REF!</v>
      </c>
      <c r="M64" s="68">
        <f t="shared" si="68"/>
        <v>497500</v>
      </c>
      <c r="N64" s="68">
        <f t="shared" si="68"/>
        <v>66029.597186276456</v>
      </c>
      <c r="O64" s="68">
        <f t="shared" si="68"/>
        <v>68200</v>
      </c>
      <c r="P64" s="68">
        <f t="shared" ref="P64:Q64" si="69">SUM(P65+P68)</f>
        <v>15500</v>
      </c>
      <c r="Q64" s="68">
        <f t="shared" si="69"/>
        <v>83700</v>
      </c>
      <c r="R64" s="748">
        <f>Q64/O64*100</f>
        <v>122.72727272727273</v>
      </c>
    </row>
    <row r="65" spans="1:18" s="1" customFormat="1" x14ac:dyDescent="0.2">
      <c r="A65" s="463"/>
      <c r="B65" s="336"/>
      <c r="C65" s="336"/>
      <c r="D65" s="336"/>
      <c r="E65" s="336"/>
      <c r="F65" s="336"/>
      <c r="G65" s="336"/>
      <c r="H65" s="23">
        <v>641</v>
      </c>
      <c r="I65" s="8" t="s">
        <v>26</v>
      </c>
      <c r="J65" s="12">
        <f t="shared" ref="J65:M65" si="70">SUM(J66:J67)</f>
        <v>2317</v>
      </c>
      <c r="K65" s="12">
        <f t="shared" si="70"/>
        <v>6000</v>
      </c>
      <c r="L65" s="12">
        <f t="shared" si="70"/>
        <v>6000</v>
      </c>
      <c r="M65" s="12">
        <f t="shared" si="70"/>
        <v>6000</v>
      </c>
      <c r="N65" s="12">
        <f t="shared" ref="N65:O65" si="71">SUM(N66:N67)</f>
        <v>796.33685048775624</v>
      </c>
      <c r="O65" s="12">
        <f t="shared" si="71"/>
        <v>1000</v>
      </c>
      <c r="P65" s="12">
        <f t="shared" ref="P65" si="72">SUM(P66:P67)</f>
        <v>-500</v>
      </c>
      <c r="Q65" s="12">
        <f t="shared" ref="Q65" si="73">SUM(Q66:Q67)</f>
        <v>500</v>
      </c>
      <c r="R65" s="749">
        <f>Q65/O65*100</f>
        <v>50</v>
      </c>
    </row>
    <row r="66" spans="1:18" x14ac:dyDescent="0.2">
      <c r="A66" s="463" t="s">
        <v>536</v>
      </c>
      <c r="B66" s="336"/>
      <c r="C66" s="336"/>
      <c r="D66" s="336"/>
      <c r="E66" s="336"/>
      <c r="F66" s="336"/>
      <c r="G66" s="336"/>
      <c r="H66" s="24">
        <v>64132</v>
      </c>
      <c r="I66" s="44" t="s">
        <v>151</v>
      </c>
      <c r="J66" s="16">
        <v>2317</v>
      </c>
      <c r="K66" s="16">
        <v>5000</v>
      </c>
      <c r="L66" s="16">
        <v>5000</v>
      </c>
      <c r="M66" s="16">
        <v>1000</v>
      </c>
      <c r="N66" s="16">
        <f>M66/7.5345</f>
        <v>132.72280841462606</v>
      </c>
      <c r="O66" s="16">
        <v>500</v>
      </c>
      <c r="P66" s="16">
        <v>-500</v>
      </c>
      <c r="Q66" s="16">
        <f>SUM(O66+P66)</f>
        <v>0</v>
      </c>
      <c r="R66" s="742">
        <f t="shared" ref="R66:R74" si="74">Q66/O66*100</f>
        <v>0</v>
      </c>
    </row>
    <row r="67" spans="1:18" x14ac:dyDescent="0.2">
      <c r="A67" s="463" t="s">
        <v>536</v>
      </c>
      <c r="B67" s="336"/>
      <c r="C67" s="336"/>
      <c r="D67" s="336"/>
      <c r="E67" s="336"/>
      <c r="F67" s="336"/>
      <c r="G67" s="336"/>
      <c r="H67" s="24">
        <v>64143</v>
      </c>
      <c r="I67" s="15" t="s">
        <v>27</v>
      </c>
      <c r="J67" s="16">
        <v>0</v>
      </c>
      <c r="K67" s="16">
        <v>1000</v>
      </c>
      <c r="L67" s="16">
        <v>1000</v>
      </c>
      <c r="M67" s="16">
        <v>5000</v>
      </c>
      <c r="N67" s="16">
        <f>M67/7.5345</f>
        <v>663.61404207313024</v>
      </c>
      <c r="O67" s="16">
        <v>500</v>
      </c>
      <c r="P67" s="16">
        <v>0</v>
      </c>
      <c r="Q67" s="16">
        <f>SUM(O67+P67)</f>
        <v>500</v>
      </c>
      <c r="R67" s="742">
        <f t="shared" si="74"/>
        <v>100</v>
      </c>
    </row>
    <row r="68" spans="1:18" s="1" customFormat="1" x14ac:dyDescent="0.2">
      <c r="A68" s="463"/>
      <c r="B68" s="336"/>
      <c r="C68" s="336"/>
      <c r="D68" s="336"/>
      <c r="E68" s="336"/>
      <c r="F68" s="336" t="s">
        <v>368</v>
      </c>
      <c r="G68" s="336"/>
      <c r="H68" s="23">
        <v>642</v>
      </c>
      <c r="I68" s="8" t="s">
        <v>28</v>
      </c>
      <c r="J68" s="12" t="e">
        <f>SUM(J69,#REF!,J73,#REF!,J74)</f>
        <v>#REF!</v>
      </c>
      <c r="K68" s="12" t="e">
        <f>SUM(K69,#REF!,K73,#REF!,K74)</f>
        <v>#REF!</v>
      </c>
      <c r="L68" s="12" t="e">
        <f>SUM(L69,#REF!,L73,#REF!,L74)</f>
        <v>#REF!</v>
      </c>
      <c r="M68" s="12">
        <f t="shared" ref="M68:O68" si="75">SUM(M69:M74)</f>
        <v>491500</v>
      </c>
      <c r="N68" s="12">
        <f t="shared" si="75"/>
        <v>65233.260335788706</v>
      </c>
      <c r="O68" s="12">
        <f t="shared" si="75"/>
        <v>67200</v>
      </c>
      <c r="P68" s="12">
        <f t="shared" ref="P68:Q68" si="76">SUM(P69:P74)</f>
        <v>16000</v>
      </c>
      <c r="Q68" s="12">
        <f t="shared" si="76"/>
        <v>83200</v>
      </c>
      <c r="R68" s="749">
        <f t="shared" si="74"/>
        <v>123.80952380952381</v>
      </c>
    </row>
    <row r="69" spans="1:18" s="28" customFormat="1" x14ac:dyDescent="0.2">
      <c r="A69" s="463" t="s">
        <v>596</v>
      </c>
      <c r="B69" s="349"/>
      <c r="C69" s="349"/>
      <c r="D69" s="349"/>
      <c r="E69" s="349"/>
      <c r="F69" s="349"/>
      <c r="G69" s="349"/>
      <c r="H69" s="26">
        <v>6421</v>
      </c>
      <c r="I69" s="10" t="s">
        <v>29</v>
      </c>
      <c r="J69" s="11">
        <v>68144</v>
      </c>
      <c r="K69" s="11">
        <v>40000</v>
      </c>
      <c r="L69" s="11">
        <v>40000</v>
      </c>
      <c r="M69" s="11">
        <v>35000</v>
      </c>
      <c r="N69" s="11">
        <f t="shared" ref="N69:N74" si="77">M69/7.5345</f>
        <v>4645.298294511912</v>
      </c>
      <c r="O69" s="11">
        <v>5000</v>
      </c>
      <c r="P69" s="11">
        <v>3200</v>
      </c>
      <c r="Q69" s="11">
        <f>SUM(O69+P69)</f>
        <v>8200</v>
      </c>
      <c r="R69" s="742">
        <f t="shared" si="74"/>
        <v>164</v>
      </c>
    </row>
    <row r="70" spans="1:18" x14ac:dyDescent="0.2">
      <c r="A70" s="465" t="s">
        <v>528</v>
      </c>
      <c r="B70" s="340"/>
      <c r="C70" s="340"/>
      <c r="D70" s="340"/>
      <c r="E70" s="340"/>
      <c r="F70" s="340"/>
      <c r="G70" s="340"/>
      <c r="H70" s="33">
        <v>64222</v>
      </c>
      <c r="I70" s="34" t="s">
        <v>152</v>
      </c>
      <c r="J70" s="17">
        <v>78532</v>
      </c>
      <c r="K70" s="17">
        <v>200000</v>
      </c>
      <c r="L70" s="17">
        <v>100000</v>
      </c>
      <c r="M70" s="17">
        <v>300000</v>
      </c>
      <c r="N70" s="16">
        <f t="shared" si="77"/>
        <v>39816.842524387816</v>
      </c>
      <c r="O70" s="17">
        <v>45000</v>
      </c>
      <c r="P70" s="17">
        <v>0</v>
      </c>
      <c r="Q70" s="11">
        <f t="shared" ref="Q70:Q74" si="78">SUM(O70+P70)</f>
        <v>45000</v>
      </c>
      <c r="R70" s="742">
        <f t="shared" si="74"/>
        <v>100</v>
      </c>
    </row>
    <row r="71" spans="1:18" x14ac:dyDescent="0.2">
      <c r="A71" s="463" t="s">
        <v>529</v>
      </c>
      <c r="B71" s="336"/>
      <c r="C71" s="336"/>
      <c r="D71" s="336"/>
      <c r="E71" s="336"/>
      <c r="F71" s="336"/>
      <c r="G71" s="336"/>
      <c r="H71" s="24">
        <v>64222</v>
      </c>
      <c r="I71" s="15" t="s">
        <v>486</v>
      </c>
      <c r="J71" s="16">
        <v>83837</v>
      </c>
      <c r="K71" s="16">
        <v>50000</v>
      </c>
      <c r="L71" s="16">
        <v>50000</v>
      </c>
      <c r="M71" s="16">
        <v>30000</v>
      </c>
      <c r="N71" s="16">
        <f t="shared" si="77"/>
        <v>3981.6842524387812</v>
      </c>
      <c r="O71" s="16">
        <v>4000</v>
      </c>
      <c r="P71" s="16">
        <v>0</v>
      </c>
      <c r="Q71" s="11">
        <f t="shared" si="78"/>
        <v>4000</v>
      </c>
      <c r="R71" s="742">
        <f t="shared" si="74"/>
        <v>100</v>
      </c>
    </row>
    <row r="72" spans="1:18" x14ac:dyDescent="0.2">
      <c r="A72" s="463" t="s">
        <v>530</v>
      </c>
      <c r="B72" s="336"/>
      <c r="C72" s="336"/>
      <c r="D72" s="336"/>
      <c r="E72" s="336"/>
      <c r="F72" s="336"/>
      <c r="G72" s="336"/>
      <c r="H72" s="24">
        <v>64225</v>
      </c>
      <c r="I72" s="15" t="s">
        <v>129</v>
      </c>
      <c r="J72" s="16">
        <v>13319</v>
      </c>
      <c r="K72" s="16">
        <v>20000</v>
      </c>
      <c r="L72" s="16">
        <v>20000</v>
      </c>
      <c r="M72" s="16">
        <v>50000</v>
      </c>
      <c r="N72" s="16">
        <f t="shared" si="77"/>
        <v>6636.1404207313026</v>
      </c>
      <c r="O72" s="16">
        <v>8000</v>
      </c>
      <c r="P72" s="16">
        <v>1000</v>
      </c>
      <c r="Q72" s="11">
        <f t="shared" si="78"/>
        <v>9000</v>
      </c>
      <c r="R72" s="742">
        <f t="shared" si="74"/>
        <v>112.5</v>
      </c>
    </row>
    <row r="73" spans="1:18" x14ac:dyDescent="0.2">
      <c r="A73" s="463" t="s">
        <v>539</v>
      </c>
      <c r="B73" s="336"/>
      <c r="C73" s="336"/>
      <c r="D73" s="336"/>
      <c r="E73" s="336"/>
      <c r="F73" s="336"/>
      <c r="G73" s="336"/>
      <c r="H73" s="26">
        <v>6423</v>
      </c>
      <c r="I73" s="10" t="s">
        <v>537</v>
      </c>
      <c r="J73" s="11" t="e">
        <f>SUM(#REF!)</f>
        <v>#REF!</v>
      </c>
      <c r="K73" s="11" t="e">
        <f>SUM(#REF!)</f>
        <v>#REF!</v>
      </c>
      <c r="L73" s="11" t="e">
        <f>SUM(#REF!)</f>
        <v>#REF!</v>
      </c>
      <c r="M73" s="11">
        <v>75000</v>
      </c>
      <c r="N73" s="11">
        <f t="shared" si="77"/>
        <v>9954.2106310969539</v>
      </c>
      <c r="O73" s="11">
        <v>5000</v>
      </c>
      <c r="P73" s="11">
        <v>12000</v>
      </c>
      <c r="Q73" s="11">
        <f t="shared" si="78"/>
        <v>17000</v>
      </c>
      <c r="R73" s="742">
        <f t="shared" si="74"/>
        <v>340</v>
      </c>
    </row>
    <row r="74" spans="1:18" s="28" customFormat="1" x14ac:dyDescent="0.2">
      <c r="A74" s="463" t="s">
        <v>538</v>
      </c>
      <c r="B74" s="336"/>
      <c r="C74" s="336"/>
      <c r="D74" s="336"/>
      <c r="E74" s="336"/>
      <c r="F74" s="336"/>
      <c r="G74" s="336"/>
      <c r="H74" s="26">
        <v>6429</v>
      </c>
      <c r="I74" s="10" t="s">
        <v>30</v>
      </c>
      <c r="J74" s="11" t="e">
        <f>SUM(#REF!)</f>
        <v>#REF!</v>
      </c>
      <c r="K74" s="11" t="e">
        <f>SUM(#REF!)</f>
        <v>#REF!</v>
      </c>
      <c r="L74" s="11" t="e">
        <f>SUM(#REF!)</f>
        <v>#REF!</v>
      </c>
      <c r="M74" s="11">
        <v>1500</v>
      </c>
      <c r="N74" s="11">
        <f t="shared" si="77"/>
        <v>199.08421262193906</v>
      </c>
      <c r="O74" s="11">
        <v>200</v>
      </c>
      <c r="P74" s="11">
        <v>-200</v>
      </c>
      <c r="Q74" s="11">
        <f t="shared" si="78"/>
        <v>0</v>
      </c>
      <c r="R74" s="742">
        <f t="shared" si="74"/>
        <v>0</v>
      </c>
    </row>
    <row r="75" spans="1:18" s="598" customFormat="1" ht="22.5" x14ac:dyDescent="0.2">
      <c r="A75" s="464"/>
      <c r="B75" s="594"/>
      <c r="C75" s="594"/>
      <c r="D75" s="594"/>
      <c r="E75" s="594"/>
      <c r="F75" s="594"/>
      <c r="G75" s="594"/>
      <c r="H75" s="595">
        <v>65</v>
      </c>
      <c r="I75" s="596" t="s">
        <v>153</v>
      </c>
      <c r="J75" s="597" t="e">
        <f t="shared" ref="J75:M75" si="79">SUM(J76+J80+J84)</f>
        <v>#REF!</v>
      </c>
      <c r="K75" s="597" t="e">
        <f t="shared" si="79"/>
        <v>#REF!</v>
      </c>
      <c r="L75" s="597" t="e">
        <f t="shared" si="79"/>
        <v>#REF!</v>
      </c>
      <c r="M75" s="597">
        <f t="shared" si="79"/>
        <v>1513500</v>
      </c>
      <c r="N75" s="597">
        <f t="shared" ref="N75:O75" si="80">SUM(N76+N80+N84)</f>
        <v>200875.97053553653</v>
      </c>
      <c r="O75" s="597">
        <f t="shared" si="80"/>
        <v>362500</v>
      </c>
      <c r="P75" s="597">
        <f t="shared" ref="P75" si="81">SUM(P76+P80+P84)</f>
        <v>11050</v>
      </c>
      <c r="Q75" s="597">
        <f t="shared" ref="Q75" si="82">SUM(Q76+Q80+Q84)</f>
        <v>373550</v>
      </c>
      <c r="R75" s="748">
        <f>Q75/O75*100</f>
        <v>103.04827586206898</v>
      </c>
    </row>
    <row r="76" spans="1:18" s="1" customFormat="1" x14ac:dyDescent="0.2">
      <c r="A76" s="463"/>
      <c r="B76" s="336"/>
      <c r="C76" s="336"/>
      <c r="D76" s="336"/>
      <c r="E76" s="336"/>
      <c r="F76" s="336"/>
      <c r="G76" s="336"/>
      <c r="H76" s="23">
        <v>651</v>
      </c>
      <c r="I76" s="8" t="s">
        <v>132</v>
      </c>
      <c r="J76" s="12" t="e">
        <f>SUM(J77+J78)</f>
        <v>#REF!</v>
      </c>
      <c r="K76" s="12" t="e">
        <f>SUM(K77+K78+K79)</f>
        <v>#REF!</v>
      </c>
      <c r="L76" s="12" t="e">
        <f>SUM(L77+L78+L79)</f>
        <v>#REF!</v>
      </c>
      <c r="M76" s="12">
        <f t="shared" ref="M76:O76" si="83">M77+M78+M79</f>
        <v>90000</v>
      </c>
      <c r="N76" s="12">
        <f t="shared" si="83"/>
        <v>11945.052757316345</v>
      </c>
      <c r="O76" s="12">
        <f t="shared" si="83"/>
        <v>12000</v>
      </c>
      <c r="P76" s="12">
        <f t="shared" ref="P76:Q76" si="84">P77+P78+P79</f>
        <v>-1500</v>
      </c>
      <c r="Q76" s="12">
        <f t="shared" si="84"/>
        <v>10500</v>
      </c>
      <c r="R76" s="749">
        <f>Q76/O76*100</f>
        <v>87.5</v>
      </c>
    </row>
    <row r="77" spans="1:18" s="40" customFormat="1" x14ac:dyDescent="0.2">
      <c r="A77" s="463" t="s">
        <v>531</v>
      </c>
      <c r="B77" s="336"/>
      <c r="C77" s="336"/>
      <c r="D77" s="336"/>
      <c r="E77" s="336"/>
      <c r="F77" s="336"/>
      <c r="G77" s="336"/>
      <c r="H77" s="26">
        <v>6512</v>
      </c>
      <c r="I77" s="10" t="s">
        <v>154</v>
      </c>
      <c r="J77" s="11" t="e">
        <f>SUM(#REF!)</f>
        <v>#REF!</v>
      </c>
      <c r="K77" s="11" t="e">
        <f>SUM(#REF!)</f>
        <v>#REF!</v>
      </c>
      <c r="L77" s="11" t="e">
        <f>SUM(#REF!)</f>
        <v>#REF!</v>
      </c>
      <c r="M77" s="11">
        <v>75000</v>
      </c>
      <c r="N77" s="16">
        <f>M77/7.5345</f>
        <v>9954.2106310969539</v>
      </c>
      <c r="O77" s="16">
        <v>10000</v>
      </c>
      <c r="P77" s="16">
        <v>-2000</v>
      </c>
      <c r="Q77" s="16">
        <f>SUM(O77+P77)</f>
        <v>8000</v>
      </c>
      <c r="R77" s="742">
        <f t="shared" ref="R77:R87" si="85">Q77/O77*100</f>
        <v>80</v>
      </c>
    </row>
    <row r="78" spans="1:18" s="40" customFormat="1" x14ac:dyDescent="0.2">
      <c r="A78" s="463" t="s">
        <v>536</v>
      </c>
      <c r="B78" s="336"/>
      <c r="C78" s="336"/>
      <c r="D78" s="336"/>
      <c r="E78" s="336"/>
      <c r="F78" s="336"/>
      <c r="G78" s="336"/>
      <c r="H78" s="26">
        <v>6513</v>
      </c>
      <c r="I78" s="10" t="s">
        <v>31</v>
      </c>
      <c r="J78" s="11" t="e">
        <f>SUM(#REF!,J79)</f>
        <v>#REF!</v>
      </c>
      <c r="K78" s="11" t="e">
        <f>SUM(#REF!)</f>
        <v>#REF!</v>
      </c>
      <c r="L78" s="11" t="e">
        <f>SUM(#REF!)</f>
        <v>#REF!</v>
      </c>
      <c r="M78" s="11">
        <v>0</v>
      </c>
      <c r="N78" s="16">
        <f>M78/7.5345</f>
        <v>0</v>
      </c>
      <c r="O78" s="16">
        <v>0</v>
      </c>
      <c r="P78" s="16">
        <v>0</v>
      </c>
      <c r="Q78" s="16">
        <f t="shared" ref="Q78:Q79" si="86">SUM(O78+P78)</f>
        <v>0</v>
      </c>
      <c r="R78" s="742" t="e">
        <f t="shared" si="85"/>
        <v>#DIV/0!</v>
      </c>
    </row>
    <row r="79" spans="1:18" s="40" customFormat="1" x14ac:dyDescent="0.2">
      <c r="A79" s="463" t="s">
        <v>538</v>
      </c>
      <c r="B79" s="336"/>
      <c r="C79" s="336"/>
      <c r="D79" s="336"/>
      <c r="E79" s="336"/>
      <c r="F79" s="336"/>
      <c r="G79" s="336"/>
      <c r="H79" s="26">
        <v>6514</v>
      </c>
      <c r="I79" s="10" t="s">
        <v>380</v>
      </c>
      <c r="J79" s="11">
        <v>0</v>
      </c>
      <c r="K79" s="11">
        <v>1000</v>
      </c>
      <c r="L79" s="11">
        <v>1000</v>
      </c>
      <c r="M79" s="11">
        <v>15000</v>
      </c>
      <c r="N79" s="16">
        <f>M79/7.5345</f>
        <v>1990.8421262193906</v>
      </c>
      <c r="O79" s="16">
        <v>2000</v>
      </c>
      <c r="P79" s="16">
        <v>500</v>
      </c>
      <c r="Q79" s="16">
        <f t="shared" si="86"/>
        <v>2500</v>
      </c>
      <c r="R79" s="742">
        <f t="shared" si="85"/>
        <v>125</v>
      </c>
    </row>
    <row r="80" spans="1:18" s="1" customFormat="1" x14ac:dyDescent="0.2">
      <c r="A80" s="463"/>
      <c r="B80" s="336"/>
      <c r="C80" s="336" t="s">
        <v>365</v>
      </c>
      <c r="D80" s="336"/>
      <c r="E80" s="336"/>
      <c r="F80" s="336"/>
      <c r="G80" s="336"/>
      <c r="H80" s="23">
        <v>652</v>
      </c>
      <c r="I80" s="8" t="s">
        <v>32</v>
      </c>
      <c r="J80" s="12" t="e">
        <f t="shared" ref="J80:O80" si="87">SUM(J81+J82+J83)</f>
        <v>#REF!</v>
      </c>
      <c r="K80" s="12" t="e">
        <f t="shared" si="87"/>
        <v>#REF!</v>
      </c>
      <c r="L80" s="12" t="e">
        <f t="shared" si="87"/>
        <v>#REF!</v>
      </c>
      <c r="M80" s="12">
        <f t="shared" si="87"/>
        <v>22500</v>
      </c>
      <c r="N80" s="12">
        <f t="shared" si="87"/>
        <v>2986.2631893290859</v>
      </c>
      <c r="O80" s="12">
        <f t="shared" si="87"/>
        <v>130500</v>
      </c>
      <c r="P80" s="12">
        <f t="shared" ref="P80:Q80" si="88">SUM(P81+P82+P83)</f>
        <v>-8950</v>
      </c>
      <c r="Q80" s="12">
        <f t="shared" si="88"/>
        <v>121550</v>
      </c>
      <c r="R80" s="749">
        <f t="shared" si="85"/>
        <v>93.141762452107287</v>
      </c>
    </row>
    <row r="81" spans="1:18" s="40" customFormat="1" x14ac:dyDescent="0.2">
      <c r="A81" s="463" t="s">
        <v>536</v>
      </c>
      <c r="B81" s="336"/>
      <c r="C81" s="336"/>
      <c r="D81" s="336"/>
      <c r="E81" s="336"/>
      <c r="F81" s="336"/>
      <c r="G81" s="336"/>
      <c r="H81" s="26">
        <v>6522</v>
      </c>
      <c r="I81" s="10" t="s">
        <v>143</v>
      </c>
      <c r="J81" s="11" t="e">
        <f>SUM(#REF!)</f>
        <v>#REF!</v>
      </c>
      <c r="K81" s="11" t="e">
        <f>SUM(#REF!)</f>
        <v>#REF!</v>
      </c>
      <c r="L81" s="11" t="e">
        <f>SUM(#REF!)</f>
        <v>#REF!</v>
      </c>
      <c r="M81" s="11">
        <v>7500</v>
      </c>
      <c r="N81" s="16">
        <f>M81/7.5345</f>
        <v>995.4210631096953</v>
      </c>
      <c r="O81" s="16">
        <v>500</v>
      </c>
      <c r="P81" s="16">
        <v>-500</v>
      </c>
      <c r="Q81" s="16">
        <f>SUM(O81+P81)</f>
        <v>0</v>
      </c>
      <c r="R81" s="742">
        <f t="shared" si="85"/>
        <v>0</v>
      </c>
    </row>
    <row r="82" spans="1:18" s="40" customFormat="1" x14ac:dyDescent="0.2">
      <c r="A82" s="463" t="s">
        <v>538</v>
      </c>
      <c r="B82" s="336"/>
      <c r="C82" s="336"/>
      <c r="D82" s="336"/>
      <c r="E82" s="336"/>
      <c r="F82" s="336"/>
      <c r="G82" s="336"/>
      <c r="H82" s="26">
        <v>6524</v>
      </c>
      <c r="I82" s="10" t="s">
        <v>35</v>
      </c>
      <c r="J82" s="11" t="e">
        <f>SUM(#REF!)</f>
        <v>#REF!</v>
      </c>
      <c r="K82" s="11" t="e">
        <f>SUM(#REF!)</f>
        <v>#REF!</v>
      </c>
      <c r="L82" s="11" t="e">
        <f>SUM(#REF!)</f>
        <v>#REF!</v>
      </c>
      <c r="M82" s="11">
        <v>15000</v>
      </c>
      <c r="N82" s="16">
        <f>M82/7.5345</f>
        <v>1990.8421262193906</v>
      </c>
      <c r="O82" s="16">
        <v>130000</v>
      </c>
      <c r="P82" s="16">
        <v>-8500</v>
      </c>
      <c r="Q82" s="16">
        <f t="shared" ref="Q82:Q83" si="89">SUM(O82+P82)</f>
        <v>121500</v>
      </c>
      <c r="R82" s="742">
        <f t="shared" si="85"/>
        <v>93.461538461538467</v>
      </c>
    </row>
    <row r="83" spans="1:18" s="40" customFormat="1" x14ac:dyDescent="0.2">
      <c r="A83" s="463"/>
      <c r="B83" s="336"/>
      <c r="C83" s="336"/>
      <c r="D83" s="336"/>
      <c r="E83" s="336"/>
      <c r="F83" s="336"/>
      <c r="G83" s="336"/>
      <c r="H83" s="26">
        <v>6526</v>
      </c>
      <c r="I83" s="10" t="s">
        <v>36</v>
      </c>
      <c r="J83" s="11" t="e">
        <f>SUM(#REF!)</f>
        <v>#REF!</v>
      </c>
      <c r="K83" s="11" t="e">
        <f>SUM(#REF!)</f>
        <v>#REF!</v>
      </c>
      <c r="L83" s="11" t="e">
        <f>SUM(#REF!)</f>
        <v>#REF!</v>
      </c>
      <c r="M83" s="11">
        <v>0</v>
      </c>
      <c r="N83" s="16">
        <f>M83/7.5345</f>
        <v>0</v>
      </c>
      <c r="O83" s="16">
        <v>0</v>
      </c>
      <c r="P83" s="16">
        <v>50</v>
      </c>
      <c r="Q83" s="16">
        <f t="shared" si="89"/>
        <v>50</v>
      </c>
      <c r="R83" s="742" t="e">
        <f t="shared" si="85"/>
        <v>#DIV/0!</v>
      </c>
    </row>
    <row r="84" spans="1:18" s="28" customFormat="1" x14ac:dyDescent="0.2">
      <c r="A84" s="463"/>
      <c r="B84" s="336"/>
      <c r="C84" s="336"/>
      <c r="D84" s="336"/>
      <c r="E84" s="336"/>
      <c r="F84" s="336"/>
      <c r="G84" s="336"/>
      <c r="H84" s="27">
        <v>653</v>
      </c>
      <c r="I84" s="9" t="s">
        <v>130</v>
      </c>
      <c r="J84" s="29">
        <f t="shared" ref="J84:M84" si="90">SUM(J85:J87)</f>
        <v>93473</v>
      </c>
      <c r="K84" s="29">
        <f t="shared" si="90"/>
        <v>450000</v>
      </c>
      <c r="L84" s="29">
        <f t="shared" si="90"/>
        <v>170000</v>
      </c>
      <c r="M84" s="29">
        <f t="shared" si="90"/>
        <v>1401000</v>
      </c>
      <c r="N84" s="29">
        <f t="shared" ref="N84:O84" si="91">SUM(N85:N87)</f>
        <v>185944.65458889111</v>
      </c>
      <c r="O84" s="12">
        <f t="shared" si="91"/>
        <v>220000</v>
      </c>
      <c r="P84" s="12">
        <f t="shared" ref="P84" si="92">SUM(P85:P87)</f>
        <v>21500</v>
      </c>
      <c r="Q84" s="12">
        <f t="shared" ref="Q84" si="93">SUM(Q85:Q87)</f>
        <v>241500</v>
      </c>
      <c r="R84" s="749">
        <f t="shared" si="85"/>
        <v>109.77272727272727</v>
      </c>
    </row>
    <row r="85" spans="1:18" x14ac:dyDescent="0.2">
      <c r="A85" s="463" t="s">
        <v>532</v>
      </c>
      <c r="B85" s="336"/>
      <c r="C85" s="336"/>
      <c r="D85" s="336"/>
      <c r="E85" s="336"/>
      <c r="F85" s="336"/>
      <c r="G85" s="336"/>
      <c r="H85" s="26">
        <v>6531</v>
      </c>
      <c r="I85" s="10" t="s">
        <v>33</v>
      </c>
      <c r="J85" s="16">
        <v>70696</v>
      </c>
      <c r="K85" s="16">
        <v>300000</v>
      </c>
      <c r="L85" s="16">
        <v>150000</v>
      </c>
      <c r="M85" s="16">
        <v>600000</v>
      </c>
      <c r="N85" s="16">
        <f>M85/7.5345</f>
        <v>79633.685048775631</v>
      </c>
      <c r="O85" s="16">
        <v>110000</v>
      </c>
      <c r="P85" s="16">
        <v>21500</v>
      </c>
      <c r="Q85" s="16">
        <f>SUM(O85+P85)</f>
        <v>131500</v>
      </c>
      <c r="R85" s="742">
        <f t="shared" si="85"/>
        <v>119.54545454545456</v>
      </c>
    </row>
    <row r="86" spans="1:18" x14ac:dyDescent="0.2">
      <c r="A86" s="463" t="s">
        <v>533</v>
      </c>
      <c r="B86" s="336"/>
      <c r="C86" s="336"/>
      <c r="D86" s="336"/>
      <c r="E86" s="336"/>
      <c r="F86" s="336"/>
      <c r="G86" s="336"/>
      <c r="H86" s="26">
        <v>6532</v>
      </c>
      <c r="I86" s="10" t="s">
        <v>34</v>
      </c>
      <c r="J86" s="16">
        <v>0</v>
      </c>
      <c r="K86" s="16">
        <v>100000</v>
      </c>
      <c r="L86" s="16">
        <v>0</v>
      </c>
      <c r="M86" s="16">
        <v>800000</v>
      </c>
      <c r="N86" s="16">
        <f>M86/7.5345</f>
        <v>106178.24673170084</v>
      </c>
      <c r="O86" s="16">
        <v>110000</v>
      </c>
      <c r="P86" s="16">
        <v>0</v>
      </c>
      <c r="Q86" s="16">
        <f t="shared" ref="Q86:Q87" si="94">SUM(O86+P86)</f>
        <v>110000</v>
      </c>
      <c r="R86" s="742">
        <f t="shared" si="85"/>
        <v>100</v>
      </c>
    </row>
    <row r="87" spans="1:18" x14ac:dyDescent="0.2">
      <c r="A87" s="463" t="s">
        <v>538</v>
      </c>
      <c r="B87" s="336"/>
      <c r="C87" s="336"/>
      <c r="D87" s="336"/>
      <c r="E87" s="336"/>
      <c r="F87" s="336"/>
      <c r="G87" s="336"/>
      <c r="H87" s="26">
        <v>6533</v>
      </c>
      <c r="I87" s="10" t="s">
        <v>133</v>
      </c>
      <c r="J87" s="16">
        <v>22777</v>
      </c>
      <c r="K87" s="16">
        <v>50000</v>
      </c>
      <c r="L87" s="16">
        <v>20000</v>
      </c>
      <c r="M87" s="16">
        <v>1000</v>
      </c>
      <c r="N87" s="16">
        <f>M87/7.5345</f>
        <v>132.72280841462606</v>
      </c>
      <c r="O87" s="16">
        <v>0</v>
      </c>
      <c r="P87" s="16">
        <v>0</v>
      </c>
      <c r="Q87" s="16">
        <f t="shared" si="94"/>
        <v>0</v>
      </c>
      <c r="R87" s="742" t="e">
        <f t="shared" si="85"/>
        <v>#DIV/0!</v>
      </c>
    </row>
    <row r="88" spans="1:18" s="74" customFormat="1" x14ac:dyDescent="0.2">
      <c r="A88" s="464"/>
      <c r="B88" s="346"/>
      <c r="C88" s="346"/>
      <c r="D88" s="346"/>
      <c r="E88" s="346"/>
      <c r="F88" s="346"/>
      <c r="G88" s="346"/>
      <c r="H88" s="76">
        <v>66</v>
      </c>
      <c r="I88" s="77" t="s">
        <v>477</v>
      </c>
      <c r="J88" s="78">
        <f>SUM(J89)</f>
        <v>4212</v>
      </c>
      <c r="K88" s="78"/>
      <c r="L88" s="78"/>
      <c r="M88" s="68">
        <f t="shared" ref="M88:Q88" si="95">SUM(M89)</f>
        <v>75000</v>
      </c>
      <c r="N88" s="68">
        <f t="shared" si="95"/>
        <v>9954.2106310969539</v>
      </c>
      <c r="O88" s="68">
        <f t="shared" si="95"/>
        <v>10000</v>
      </c>
      <c r="P88" s="68">
        <f t="shared" si="95"/>
        <v>-7000</v>
      </c>
      <c r="Q88" s="68">
        <f t="shared" si="95"/>
        <v>3000</v>
      </c>
      <c r="R88" s="748">
        <f t="shared" ref="R88:R100" si="96">Q88/O88*100</f>
        <v>30</v>
      </c>
    </row>
    <row r="89" spans="1:18" x14ac:dyDescent="0.2">
      <c r="A89" s="463"/>
      <c r="B89" s="336"/>
      <c r="C89" s="336"/>
      <c r="D89" s="336"/>
      <c r="E89" s="336"/>
      <c r="F89" s="336"/>
      <c r="G89" s="336"/>
      <c r="H89" s="27">
        <v>661</v>
      </c>
      <c r="I89" s="9" t="s">
        <v>477</v>
      </c>
      <c r="J89" s="29">
        <v>4212</v>
      </c>
      <c r="K89" s="29">
        <v>0</v>
      </c>
      <c r="L89" s="29">
        <v>0</v>
      </c>
      <c r="M89" s="29">
        <f t="shared" ref="M89:Q89" si="97">M90</f>
        <v>75000</v>
      </c>
      <c r="N89" s="29">
        <f t="shared" si="97"/>
        <v>9954.2106310969539</v>
      </c>
      <c r="O89" s="12">
        <f t="shared" si="97"/>
        <v>10000</v>
      </c>
      <c r="P89" s="12">
        <f t="shared" si="97"/>
        <v>-7000</v>
      </c>
      <c r="Q89" s="12">
        <f t="shared" si="97"/>
        <v>3000</v>
      </c>
      <c r="R89" s="749">
        <f t="shared" si="96"/>
        <v>30</v>
      </c>
    </row>
    <row r="90" spans="1:18" x14ac:dyDescent="0.2">
      <c r="A90" s="466" t="s">
        <v>534</v>
      </c>
      <c r="B90" s="350"/>
      <c r="C90" s="350"/>
      <c r="D90" s="350"/>
      <c r="E90" s="350"/>
      <c r="F90" s="350"/>
      <c r="G90" s="350"/>
      <c r="H90" s="351">
        <v>6615</v>
      </c>
      <c r="I90" s="352" t="s">
        <v>478</v>
      </c>
      <c r="J90" s="353"/>
      <c r="K90" s="353"/>
      <c r="L90" s="353"/>
      <c r="M90" s="353">
        <v>75000</v>
      </c>
      <c r="N90" s="16">
        <f>M90/7.5345</f>
        <v>9954.2106310969539</v>
      </c>
      <c r="O90" s="353">
        <v>10000</v>
      </c>
      <c r="P90" s="353">
        <v>-7000</v>
      </c>
      <c r="Q90" s="353">
        <f>SUM(O90+P90)</f>
        <v>3000</v>
      </c>
      <c r="R90" s="742">
        <f t="shared" si="96"/>
        <v>30</v>
      </c>
    </row>
    <row r="91" spans="1:18" s="74" customFormat="1" x14ac:dyDescent="0.2">
      <c r="A91" s="464"/>
      <c r="B91" s="346"/>
      <c r="C91" s="346"/>
      <c r="D91" s="346"/>
      <c r="E91" s="346"/>
      <c r="F91" s="346"/>
      <c r="G91" s="346"/>
      <c r="H91" s="76">
        <v>68</v>
      </c>
      <c r="I91" s="77" t="s">
        <v>381</v>
      </c>
      <c r="J91" s="78">
        <f>SUM(J92)</f>
        <v>4212</v>
      </c>
      <c r="K91" s="78"/>
      <c r="L91" s="78"/>
      <c r="M91" s="68">
        <f t="shared" ref="M91:Q91" si="98">SUM(M92)</f>
        <v>7500</v>
      </c>
      <c r="N91" s="68">
        <f t="shared" si="98"/>
        <v>995.4210631096953</v>
      </c>
      <c r="O91" s="68">
        <f t="shared" si="98"/>
        <v>1000</v>
      </c>
      <c r="P91" s="68">
        <f t="shared" si="98"/>
        <v>-750</v>
      </c>
      <c r="Q91" s="68">
        <f t="shared" si="98"/>
        <v>250</v>
      </c>
      <c r="R91" s="748">
        <f t="shared" si="96"/>
        <v>25</v>
      </c>
    </row>
    <row r="92" spans="1:18" x14ac:dyDescent="0.2">
      <c r="A92" s="463"/>
      <c r="B92" s="336"/>
      <c r="C92" s="336"/>
      <c r="D92" s="336"/>
      <c r="E92" s="336"/>
      <c r="F92" s="336"/>
      <c r="G92" s="336"/>
      <c r="H92" s="27">
        <v>681</v>
      </c>
      <c r="I92" s="9" t="s">
        <v>382</v>
      </c>
      <c r="J92" s="29">
        <v>4212</v>
      </c>
      <c r="K92" s="29">
        <v>0</v>
      </c>
      <c r="L92" s="29">
        <v>0</v>
      </c>
      <c r="M92" s="29">
        <f t="shared" ref="M92:Q92" si="99">M93</f>
        <v>7500</v>
      </c>
      <c r="N92" s="29">
        <f t="shared" si="99"/>
        <v>995.4210631096953</v>
      </c>
      <c r="O92" s="12">
        <f t="shared" si="99"/>
        <v>1000</v>
      </c>
      <c r="P92" s="12">
        <f t="shared" si="99"/>
        <v>-750</v>
      </c>
      <c r="Q92" s="12">
        <f t="shared" si="99"/>
        <v>250</v>
      </c>
      <c r="R92" s="749">
        <f t="shared" si="96"/>
        <v>25</v>
      </c>
    </row>
    <row r="93" spans="1:18" x14ac:dyDescent="0.2">
      <c r="A93" s="466" t="s">
        <v>536</v>
      </c>
      <c r="B93" s="350"/>
      <c r="C93" s="350"/>
      <c r="D93" s="350"/>
      <c r="E93" s="350"/>
      <c r="F93" s="350"/>
      <c r="G93" s="350"/>
      <c r="H93" s="351">
        <v>6819</v>
      </c>
      <c r="I93" s="352" t="s">
        <v>383</v>
      </c>
      <c r="J93" s="353"/>
      <c r="K93" s="353"/>
      <c r="L93" s="353"/>
      <c r="M93" s="353">
        <v>7500</v>
      </c>
      <c r="N93" s="16">
        <f>M93/7.5345</f>
        <v>995.4210631096953</v>
      </c>
      <c r="O93" s="353">
        <v>1000</v>
      </c>
      <c r="P93" s="353">
        <v>-750</v>
      </c>
      <c r="Q93" s="353">
        <f>SUM(O93+P93)</f>
        <v>250</v>
      </c>
      <c r="R93" s="742">
        <f t="shared" si="96"/>
        <v>25</v>
      </c>
    </row>
    <row r="94" spans="1:18" s="52" customFormat="1" ht="13.5" thickBot="1" x14ac:dyDescent="0.25">
      <c r="A94" s="467"/>
      <c r="B94" s="347"/>
      <c r="C94" s="347"/>
      <c r="D94" s="347"/>
      <c r="E94" s="347"/>
      <c r="F94" s="347"/>
      <c r="G94" s="347"/>
      <c r="H94" s="49">
        <v>7</v>
      </c>
      <c r="I94" s="50" t="s">
        <v>2</v>
      </c>
      <c r="J94" s="51" t="e">
        <f t="shared" ref="J94:Q94" si="100">SUM(J95)</f>
        <v>#REF!</v>
      </c>
      <c r="K94" s="51" t="e">
        <f t="shared" si="100"/>
        <v>#REF!</v>
      </c>
      <c r="L94" s="51" t="e">
        <f t="shared" si="100"/>
        <v>#REF!</v>
      </c>
      <c r="M94" s="51">
        <f t="shared" si="100"/>
        <v>100000</v>
      </c>
      <c r="N94" s="51">
        <f t="shared" si="100"/>
        <v>13272.280841462605</v>
      </c>
      <c r="O94" s="51">
        <f t="shared" si="100"/>
        <v>14000</v>
      </c>
      <c r="P94" s="51">
        <f t="shared" si="100"/>
        <v>0</v>
      </c>
      <c r="Q94" s="51">
        <f t="shared" si="100"/>
        <v>14000</v>
      </c>
      <c r="R94" s="750">
        <f t="shared" si="96"/>
        <v>100</v>
      </c>
    </row>
    <row r="95" spans="1:18" s="65" customFormat="1" x14ac:dyDescent="0.2">
      <c r="A95" s="462"/>
      <c r="B95" s="345"/>
      <c r="C95" s="345"/>
      <c r="D95" s="345"/>
      <c r="E95" s="345"/>
      <c r="F95" s="345"/>
      <c r="G95" s="345"/>
      <c r="H95" s="62">
        <v>71</v>
      </c>
      <c r="I95" s="69" t="s">
        <v>39</v>
      </c>
      <c r="J95" s="64" t="e">
        <f>SUM(J96+#REF!)</f>
        <v>#REF!</v>
      </c>
      <c r="K95" s="64" t="e">
        <f>SUM(K96+#REF!)</f>
        <v>#REF!</v>
      </c>
      <c r="L95" s="64" t="e">
        <f>SUM(L96+#REF!)</f>
        <v>#REF!</v>
      </c>
      <c r="M95" s="64">
        <f t="shared" ref="M95:Q96" si="101">M96</f>
        <v>100000</v>
      </c>
      <c r="N95" s="64">
        <f t="shared" si="101"/>
        <v>13272.280841462605</v>
      </c>
      <c r="O95" s="64">
        <f t="shared" si="101"/>
        <v>14000</v>
      </c>
      <c r="P95" s="64">
        <f t="shared" si="101"/>
        <v>0</v>
      </c>
      <c r="Q95" s="64">
        <f t="shared" si="101"/>
        <v>14000</v>
      </c>
      <c r="R95" s="748">
        <f t="shared" si="96"/>
        <v>100</v>
      </c>
    </row>
    <row r="96" spans="1:18" s="1" customFormat="1" x14ac:dyDescent="0.2">
      <c r="A96" s="463" t="s">
        <v>535</v>
      </c>
      <c r="B96" s="336"/>
      <c r="C96" s="336" t="s">
        <v>365</v>
      </c>
      <c r="D96" s="336"/>
      <c r="E96" s="336"/>
      <c r="F96" s="336"/>
      <c r="G96" s="336"/>
      <c r="H96" s="23">
        <v>711</v>
      </c>
      <c r="I96" s="8" t="s">
        <v>384</v>
      </c>
      <c r="J96" s="12" t="e">
        <f>SUM(#REF!)</f>
        <v>#REF!</v>
      </c>
      <c r="K96" s="12" t="e">
        <f>SUM(#REF!)</f>
        <v>#REF!</v>
      </c>
      <c r="L96" s="12" t="e">
        <f>SUM(#REF!)</f>
        <v>#REF!</v>
      </c>
      <c r="M96" s="12">
        <v>100000</v>
      </c>
      <c r="N96" s="16">
        <f>M96/7.5345</f>
        <v>13272.280841462605</v>
      </c>
      <c r="O96" s="12">
        <f>O97</f>
        <v>14000</v>
      </c>
      <c r="P96" s="12">
        <f t="shared" si="101"/>
        <v>0</v>
      </c>
      <c r="Q96" s="12">
        <f t="shared" si="101"/>
        <v>14000</v>
      </c>
      <c r="R96" s="741">
        <f t="shared" si="96"/>
        <v>100</v>
      </c>
    </row>
    <row r="97" spans="1:18" s="1" customFormat="1" x14ac:dyDescent="0.2">
      <c r="A97" s="466"/>
      <c r="B97" s="350"/>
      <c r="C97" s="350"/>
      <c r="D97" s="350"/>
      <c r="E97" s="350"/>
      <c r="F97" s="350"/>
      <c r="G97" s="350"/>
      <c r="H97" s="765">
        <v>7111</v>
      </c>
      <c r="I97" s="766" t="s">
        <v>40</v>
      </c>
      <c r="J97" s="767"/>
      <c r="K97" s="767"/>
      <c r="L97" s="767"/>
      <c r="M97" s="767"/>
      <c r="N97" s="353"/>
      <c r="O97" s="767">
        <v>14000</v>
      </c>
      <c r="P97" s="767">
        <v>0</v>
      </c>
      <c r="Q97" s="767">
        <f>SUM(O97+P97)</f>
        <v>14000</v>
      </c>
      <c r="R97" s="768"/>
    </row>
    <row r="98" spans="1:18" s="52" customFormat="1" ht="13.5" thickBot="1" x14ac:dyDescent="0.25">
      <c r="A98" s="467"/>
      <c r="B98" s="347"/>
      <c r="C98" s="347"/>
      <c r="D98" s="347"/>
      <c r="E98" s="347"/>
      <c r="F98" s="347"/>
      <c r="G98" s="347"/>
      <c r="H98" s="49">
        <v>3</v>
      </c>
      <c r="I98" s="50" t="s">
        <v>3</v>
      </c>
      <c r="J98" s="51" t="e">
        <f t="shared" ref="J98:L98" si="102">SUM(J99+J107+J137+J144+J148+J152+J156)</f>
        <v>#REF!</v>
      </c>
      <c r="K98" s="51" t="e">
        <f t="shared" si="102"/>
        <v>#REF!</v>
      </c>
      <c r="L98" s="51" t="e">
        <f t="shared" si="102"/>
        <v>#REF!</v>
      </c>
      <c r="M98" s="51" t="e">
        <f t="shared" ref="M98:Q98" si="103">SUM(M99+M107+M137+M144+M148+M152+M156)</f>
        <v>#REF!</v>
      </c>
      <c r="N98" s="51" t="e">
        <f t="shared" si="103"/>
        <v>#REF!</v>
      </c>
      <c r="O98" s="51">
        <f>SUM(O99+O107+O137+O144+O148+O152+O156)</f>
        <v>1706800</v>
      </c>
      <c r="P98" s="51">
        <f t="shared" si="103"/>
        <v>42585</v>
      </c>
      <c r="Q98" s="51">
        <f t="shared" si="103"/>
        <v>1749385</v>
      </c>
      <c r="R98" s="750">
        <f t="shared" si="96"/>
        <v>102.49501992031873</v>
      </c>
    </row>
    <row r="99" spans="1:18" s="65" customFormat="1" x14ac:dyDescent="0.2">
      <c r="A99" s="462"/>
      <c r="B99" s="345"/>
      <c r="C99" s="345"/>
      <c r="D99" s="345"/>
      <c r="E99" s="345"/>
      <c r="F99" s="345"/>
      <c r="G99" s="345"/>
      <c r="H99" s="62">
        <v>31</v>
      </c>
      <c r="I99" s="63" t="s">
        <v>41</v>
      </c>
      <c r="J99" s="64">
        <f t="shared" ref="J99:Q99" si="104">SUM(J100+J102+J104)</f>
        <v>454690</v>
      </c>
      <c r="K99" s="64">
        <f t="shared" si="104"/>
        <v>613000</v>
      </c>
      <c r="L99" s="64">
        <f t="shared" si="104"/>
        <v>498000</v>
      </c>
      <c r="M99" s="64">
        <f t="shared" si="104"/>
        <v>1146300</v>
      </c>
      <c r="N99" s="64">
        <f t="shared" si="104"/>
        <v>152140.15528568585</v>
      </c>
      <c r="O99" s="64">
        <f t="shared" si="104"/>
        <v>331700</v>
      </c>
      <c r="P99" s="64">
        <f t="shared" si="104"/>
        <v>-10600</v>
      </c>
      <c r="Q99" s="64">
        <f t="shared" si="104"/>
        <v>321100</v>
      </c>
      <c r="R99" s="748">
        <f t="shared" si="96"/>
        <v>96.804341272233955</v>
      </c>
    </row>
    <row r="100" spans="1:18" s="1" customFormat="1" x14ac:dyDescent="0.2">
      <c r="A100" s="463"/>
      <c r="B100" s="336"/>
      <c r="C100" s="336" t="s">
        <v>365</v>
      </c>
      <c r="D100" s="336"/>
      <c r="E100" s="336"/>
      <c r="F100" s="336"/>
      <c r="G100" s="336"/>
      <c r="H100" s="23">
        <v>311</v>
      </c>
      <c r="I100" s="8" t="s">
        <v>42</v>
      </c>
      <c r="J100" s="12">
        <f>SUM(J101)</f>
        <v>382608</v>
      </c>
      <c r="K100" s="12">
        <f>SUM(K101)</f>
        <v>500000</v>
      </c>
      <c r="L100" s="12">
        <f>SUM(L101)</f>
        <v>400000</v>
      </c>
      <c r="M100" s="12">
        <f t="shared" ref="M100:Q100" si="105">M101</f>
        <v>923300</v>
      </c>
      <c r="N100" s="12">
        <f t="shared" si="105"/>
        <v>122542.96900922424</v>
      </c>
      <c r="O100" s="12">
        <f t="shared" si="105"/>
        <v>267000</v>
      </c>
      <c r="P100" s="12">
        <f t="shared" si="105"/>
        <v>-9500</v>
      </c>
      <c r="Q100" s="12">
        <f t="shared" si="105"/>
        <v>257500</v>
      </c>
      <c r="R100" s="749">
        <f t="shared" si="96"/>
        <v>96.441947565543074</v>
      </c>
    </row>
    <row r="101" spans="1:18" x14ac:dyDescent="0.2">
      <c r="A101" s="463"/>
      <c r="B101" s="336"/>
      <c r="C101" s="336"/>
      <c r="D101" s="336"/>
      <c r="E101" s="336"/>
      <c r="F101" s="336"/>
      <c r="G101" s="336"/>
      <c r="H101" s="24">
        <v>3111</v>
      </c>
      <c r="I101" s="15" t="s">
        <v>134</v>
      </c>
      <c r="J101" s="16">
        <v>382608</v>
      </c>
      <c r="K101" s="16">
        <v>500000</v>
      </c>
      <c r="L101" s="16">
        <v>400000</v>
      </c>
      <c r="M101" s="16">
        <f>Posebni!F15+Posebni!F586+Posebni!F618</f>
        <v>923300</v>
      </c>
      <c r="N101" s="16">
        <f>Posebni!G15+Posebni!G586+Posebni!G618</f>
        <v>122542.96900922424</v>
      </c>
      <c r="O101" s="16">
        <f>Posebni!H15+Posebni!H586+Posebni!H587+Posebni!H618+Posebni!H619</f>
        <v>267000</v>
      </c>
      <c r="P101" s="16">
        <f>Posebni!I15+Posebni!I586+Posebni!I587+Posebni!I618+Posebni!I619</f>
        <v>-9500</v>
      </c>
      <c r="Q101" s="16">
        <f>SUM(O101+P101)</f>
        <v>257500</v>
      </c>
      <c r="R101" s="742">
        <f t="shared" ref="R101:R106" si="106">Q101/O101*100</f>
        <v>96.441947565543074</v>
      </c>
    </row>
    <row r="102" spans="1:18" s="1" customFormat="1" x14ac:dyDescent="0.2">
      <c r="A102" s="463"/>
      <c r="B102" s="336"/>
      <c r="C102" s="336"/>
      <c r="D102" s="336"/>
      <c r="E102" s="336"/>
      <c r="F102" s="336"/>
      <c r="G102" s="336"/>
      <c r="H102" s="23">
        <v>312</v>
      </c>
      <c r="I102" s="8" t="s">
        <v>43</v>
      </c>
      <c r="J102" s="12">
        <f t="shared" ref="J102:Q102" si="107">SUM(J103)</f>
        <v>13926</v>
      </c>
      <c r="K102" s="12">
        <f t="shared" si="107"/>
        <v>25000</v>
      </c>
      <c r="L102" s="12">
        <f t="shared" si="107"/>
        <v>25000</v>
      </c>
      <c r="M102" s="12">
        <f t="shared" si="107"/>
        <v>70000</v>
      </c>
      <c r="N102" s="12">
        <f t="shared" si="107"/>
        <v>9290.596589023824</v>
      </c>
      <c r="O102" s="12">
        <f t="shared" si="107"/>
        <v>21500</v>
      </c>
      <c r="P102" s="12">
        <f t="shared" si="107"/>
        <v>-500</v>
      </c>
      <c r="Q102" s="12">
        <f t="shared" si="107"/>
        <v>21000</v>
      </c>
      <c r="R102" s="749">
        <f t="shared" si="106"/>
        <v>97.674418604651152</v>
      </c>
    </row>
    <row r="103" spans="1:18" x14ac:dyDescent="0.2">
      <c r="A103" s="463"/>
      <c r="B103" s="336"/>
      <c r="C103" s="336"/>
      <c r="D103" s="336"/>
      <c r="E103" s="336"/>
      <c r="F103" s="336"/>
      <c r="G103" s="336"/>
      <c r="H103" s="24">
        <v>3121</v>
      </c>
      <c r="I103" s="15" t="s">
        <v>43</v>
      </c>
      <c r="J103" s="16">
        <v>13926</v>
      </c>
      <c r="K103" s="16">
        <v>25000</v>
      </c>
      <c r="L103" s="16">
        <v>25000</v>
      </c>
      <c r="M103" s="16">
        <f>Posebni!F17+Posebni!F589</f>
        <v>70000</v>
      </c>
      <c r="N103" s="16">
        <f>Posebni!G17+Posebni!G589</f>
        <v>9290.596589023824</v>
      </c>
      <c r="O103" s="16">
        <f>Posebni!H17+Posebni!H589+Posebni!H590</f>
        <v>21500</v>
      </c>
      <c r="P103" s="16">
        <f>Posebni!I17+Posebni!I589+Posebni!I590</f>
        <v>-500</v>
      </c>
      <c r="Q103" s="16">
        <f>SUM(O103+P103)</f>
        <v>21000</v>
      </c>
      <c r="R103" s="742">
        <f t="shared" si="106"/>
        <v>97.674418604651152</v>
      </c>
    </row>
    <row r="104" spans="1:18" s="1" customFormat="1" x14ac:dyDescent="0.2">
      <c r="A104" s="463"/>
      <c r="B104" s="336"/>
      <c r="C104" s="336" t="s">
        <v>365</v>
      </c>
      <c r="D104" s="336"/>
      <c r="E104" s="336"/>
      <c r="F104" s="336"/>
      <c r="G104" s="336"/>
      <c r="H104" s="23">
        <v>313</v>
      </c>
      <c r="I104" s="8" t="s">
        <v>44</v>
      </c>
      <c r="J104" s="12">
        <f t="shared" ref="J104:O104" si="108">SUM(J105:J106)</f>
        <v>58156</v>
      </c>
      <c r="K104" s="12">
        <f t="shared" si="108"/>
        <v>88000</v>
      </c>
      <c r="L104" s="12">
        <f t="shared" si="108"/>
        <v>73000</v>
      </c>
      <c r="M104" s="12">
        <f t="shared" si="108"/>
        <v>153000</v>
      </c>
      <c r="N104" s="12">
        <f t="shared" si="108"/>
        <v>20306.589687437783</v>
      </c>
      <c r="O104" s="12">
        <f t="shared" si="108"/>
        <v>43200</v>
      </c>
      <c r="P104" s="12">
        <f t="shared" ref="P104:Q104" si="109">SUM(P105:P106)</f>
        <v>-600</v>
      </c>
      <c r="Q104" s="12">
        <f t="shared" si="109"/>
        <v>42600</v>
      </c>
      <c r="R104" s="749">
        <f t="shared" si="106"/>
        <v>98.611111111111114</v>
      </c>
    </row>
    <row r="105" spans="1:18" x14ac:dyDescent="0.2">
      <c r="A105" s="463"/>
      <c r="B105" s="336"/>
      <c r="C105" s="336"/>
      <c r="D105" s="336"/>
      <c r="E105" s="336"/>
      <c r="F105" s="336"/>
      <c r="G105" s="336"/>
      <c r="H105" s="24">
        <v>3132</v>
      </c>
      <c r="I105" s="15" t="s">
        <v>45</v>
      </c>
      <c r="J105" s="16">
        <v>51652</v>
      </c>
      <c r="K105" s="16">
        <v>75000</v>
      </c>
      <c r="L105" s="16">
        <v>60000</v>
      </c>
      <c r="M105" s="16">
        <f>Posebni!F19+Posebni!F592+Posebni!F623</f>
        <v>153000</v>
      </c>
      <c r="N105" s="16">
        <f>Posebni!G19+Posebni!G592+Posebni!G623</f>
        <v>20306.589687437783</v>
      </c>
      <c r="O105" s="16">
        <f>Posebni!H19+Posebni!H592+Posebni!H593+Posebni!H623+Posebni!H624</f>
        <v>43200</v>
      </c>
      <c r="P105" s="16">
        <f>Posebni!I19+Posebni!I592+Posebni!I593+Posebni!I623+Posebni!I624</f>
        <v>-600</v>
      </c>
      <c r="Q105" s="16">
        <f>SUM(O105+P105)</f>
        <v>42600</v>
      </c>
      <c r="R105" s="742">
        <f t="shared" si="106"/>
        <v>98.611111111111114</v>
      </c>
    </row>
    <row r="106" spans="1:18" x14ac:dyDescent="0.2">
      <c r="A106" s="463"/>
      <c r="B106" s="336"/>
      <c r="C106" s="336"/>
      <c r="D106" s="336"/>
      <c r="E106" s="336"/>
      <c r="F106" s="336"/>
      <c r="G106" s="336"/>
      <c r="H106" s="24">
        <v>3133</v>
      </c>
      <c r="I106" s="15" t="s">
        <v>46</v>
      </c>
      <c r="J106" s="16">
        <v>6504</v>
      </c>
      <c r="K106" s="16">
        <v>13000</v>
      </c>
      <c r="L106" s="16">
        <v>13000</v>
      </c>
      <c r="M106" s="16"/>
      <c r="N106" s="16"/>
      <c r="O106" s="16">
        <v>0</v>
      </c>
      <c r="P106" s="16">
        <v>0</v>
      </c>
      <c r="Q106" s="16">
        <f>SUM(O106+P106)</f>
        <v>0</v>
      </c>
      <c r="R106" s="742" t="e">
        <f t="shared" si="106"/>
        <v>#DIV/0!</v>
      </c>
    </row>
    <row r="107" spans="1:18" s="65" customFormat="1" x14ac:dyDescent="0.2">
      <c r="A107" s="464"/>
      <c r="B107" s="346"/>
      <c r="C107" s="346"/>
      <c r="D107" s="346"/>
      <c r="E107" s="346"/>
      <c r="F107" s="346"/>
      <c r="G107" s="346"/>
      <c r="H107" s="66">
        <v>32</v>
      </c>
      <c r="I107" s="67" t="s">
        <v>47</v>
      </c>
      <c r="J107" s="68">
        <f t="shared" ref="J107:Q107" si="110">SUM(J108+J113+J119+J128+J130)</f>
        <v>1518759</v>
      </c>
      <c r="K107" s="68">
        <f t="shared" si="110"/>
        <v>1445000</v>
      </c>
      <c r="L107" s="68">
        <f t="shared" si="110"/>
        <v>1675000</v>
      </c>
      <c r="M107" s="68" t="e">
        <f t="shared" si="110"/>
        <v>#REF!</v>
      </c>
      <c r="N107" s="68" t="e">
        <f t="shared" si="110"/>
        <v>#REF!</v>
      </c>
      <c r="O107" s="68">
        <f t="shared" si="110"/>
        <v>730800</v>
      </c>
      <c r="P107" s="68">
        <f t="shared" si="110"/>
        <v>87185</v>
      </c>
      <c r="Q107" s="68">
        <f t="shared" si="110"/>
        <v>817985</v>
      </c>
      <c r="R107" s="748">
        <f>Q107/O107*100</f>
        <v>111.93007662835248</v>
      </c>
    </row>
    <row r="108" spans="1:18" s="1" customFormat="1" x14ac:dyDescent="0.2">
      <c r="A108" s="463"/>
      <c r="B108" s="336"/>
      <c r="C108" s="336"/>
      <c r="D108" s="336"/>
      <c r="E108" s="336"/>
      <c r="F108" s="336"/>
      <c r="G108" s="336"/>
      <c r="H108" s="23">
        <v>321</v>
      </c>
      <c r="I108" s="8" t="s">
        <v>48</v>
      </c>
      <c r="J108" s="12">
        <f>SUM(J109:J112)</f>
        <v>59873</v>
      </c>
      <c r="K108" s="12">
        <f>SUM(K109:K112)</f>
        <v>81000</v>
      </c>
      <c r="L108" s="12">
        <f>SUM(L109:L112)</f>
        <v>81000</v>
      </c>
      <c r="M108" s="12" t="e">
        <f t="shared" ref="M108:Q108" si="111">M109+M110+M111+M112</f>
        <v>#REF!</v>
      </c>
      <c r="N108" s="12" t="e">
        <f t="shared" si="111"/>
        <v>#REF!</v>
      </c>
      <c r="O108" s="12">
        <f t="shared" si="111"/>
        <v>14000</v>
      </c>
      <c r="P108" s="12">
        <f t="shared" si="111"/>
        <v>-1600</v>
      </c>
      <c r="Q108" s="12">
        <f t="shared" si="111"/>
        <v>12400</v>
      </c>
      <c r="R108" s="749">
        <f>Q108/O108*100</f>
        <v>88.571428571428569</v>
      </c>
    </row>
    <row r="109" spans="1:18" x14ac:dyDescent="0.2">
      <c r="A109" s="463"/>
      <c r="B109" s="336"/>
      <c r="C109" s="336"/>
      <c r="D109" s="336"/>
      <c r="E109" s="336"/>
      <c r="F109" s="336"/>
      <c r="G109" s="336"/>
      <c r="H109" s="24">
        <v>3211</v>
      </c>
      <c r="I109" s="15" t="s">
        <v>49</v>
      </c>
      <c r="J109" s="16">
        <v>23045</v>
      </c>
      <c r="K109" s="16">
        <v>30000</v>
      </c>
      <c r="L109" s="16">
        <v>30000</v>
      </c>
      <c r="M109" s="16">
        <f>Posebni!F22</f>
        <v>10000</v>
      </c>
      <c r="N109" s="16">
        <f>Posebni!G22</f>
        <v>1327.2280841462605</v>
      </c>
      <c r="O109" s="16">
        <f>Posebni!H22</f>
        <v>2000</v>
      </c>
      <c r="P109" s="16">
        <f>Posebni!I22</f>
        <v>1500</v>
      </c>
      <c r="Q109" s="16">
        <f>SUM(O109+P109)</f>
        <v>3500</v>
      </c>
      <c r="R109" s="742">
        <f t="shared" ref="R109:R136" si="112">Q109/O109*100</f>
        <v>175</v>
      </c>
    </row>
    <row r="110" spans="1:18" x14ac:dyDescent="0.2">
      <c r="A110" s="463"/>
      <c r="B110" s="336"/>
      <c r="C110" s="336"/>
      <c r="D110" s="336"/>
      <c r="E110" s="336"/>
      <c r="F110" s="336"/>
      <c r="G110" s="336"/>
      <c r="H110" s="24">
        <v>3212</v>
      </c>
      <c r="I110" s="44" t="s">
        <v>155</v>
      </c>
      <c r="J110" s="16">
        <v>22400</v>
      </c>
      <c r="K110" s="16">
        <v>26000</v>
      </c>
      <c r="L110" s="16">
        <v>26000</v>
      </c>
      <c r="M110" s="16">
        <f>Posebni!F23+Posebni!F627</f>
        <v>35000</v>
      </c>
      <c r="N110" s="16">
        <f>Posebni!G23+Posebni!G627</f>
        <v>4645.2982945119111</v>
      </c>
      <c r="O110" s="16">
        <f>Posebni!H23+Posebni!H627+Posebni!H628</f>
        <v>6000</v>
      </c>
      <c r="P110" s="16">
        <f>Posebni!I23+Posebni!I627+Posebni!I628</f>
        <v>-2400</v>
      </c>
      <c r="Q110" s="16">
        <f t="shared" ref="Q110:Q112" si="113">SUM(O110+P110)</f>
        <v>3600</v>
      </c>
      <c r="R110" s="742">
        <f t="shared" si="112"/>
        <v>60</v>
      </c>
    </row>
    <row r="111" spans="1:18" x14ac:dyDescent="0.2">
      <c r="A111" s="463"/>
      <c r="B111" s="336"/>
      <c r="C111" s="336"/>
      <c r="D111" s="336"/>
      <c r="E111" s="336"/>
      <c r="F111" s="336"/>
      <c r="G111" s="336"/>
      <c r="H111" s="24">
        <v>3213</v>
      </c>
      <c r="I111" s="15" t="s">
        <v>51</v>
      </c>
      <c r="J111" s="16">
        <v>3500</v>
      </c>
      <c r="K111" s="16">
        <v>10000</v>
      </c>
      <c r="L111" s="16">
        <v>10000</v>
      </c>
      <c r="M111" s="16" t="e">
        <f>Posebni!F24+Posebni!#REF!</f>
        <v>#REF!</v>
      </c>
      <c r="N111" s="16" t="e">
        <f>Posebni!G24+Posebni!#REF!</f>
        <v>#REF!</v>
      </c>
      <c r="O111" s="16">
        <f>Posebni!H24</f>
        <v>2000</v>
      </c>
      <c r="P111" s="16">
        <f>Posebni!I24</f>
        <v>300</v>
      </c>
      <c r="Q111" s="16">
        <f t="shared" si="113"/>
        <v>2300</v>
      </c>
      <c r="R111" s="742">
        <f t="shared" si="112"/>
        <v>114.99999999999999</v>
      </c>
    </row>
    <row r="112" spans="1:18" x14ac:dyDescent="0.2">
      <c r="A112" s="463"/>
      <c r="B112" s="336"/>
      <c r="C112" s="336"/>
      <c r="D112" s="336"/>
      <c r="E112" s="336"/>
      <c r="F112" s="336"/>
      <c r="G112" s="336"/>
      <c r="H112" s="24">
        <v>3214</v>
      </c>
      <c r="I112" s="15" t="s">
        <v>144</v>
      </c>
      <c r="J112" s="16">
        <v>10928</v>
      </c>
      <c r="K112" s="16">
        <v>15000</v>
      </c>
      <c r="L112" s="16">
        <v>15000</v>
      </c>
      <c r="M112" s="16">
        <f>Posebni!F25+Posebni!F596</f>
        <v>16000</v>
      </c>
      <c r="N112" s="16">
        <f>Posebni!G25+Posebni!G596</f>
        <v>2123.5649346340169</v>
      </c>
      <c r="O112" s="16">
        <f>Posebni!H25+Posebni!H596+Posebni!H597</f>
        <v>4000</v>
      </c>
      <c r="P112" s="16">
        <f>Posebni!I25+Posebni!I596+Posebni!I597</f>
        <v>-1000</v>
      </c>
      <c r="Q112" s="16">
        <f t="shared" si="113"/>
        <v>3000</v>
      </c>
      <c r="R112" s="742">
        <f t="shared" si="112"/>
        <v>75</v>
      </c>
    </row>
    <row r="113" spans="1:18" s="1" customFormat="1" x14ac:dyDescent="0.2">
      <c r="A113" s="463"/>
      <c r="B113" s="336"/>
      <c r="C113" s="336"/>
      <c r="D113" s="336"/>
      <c r="E113" s="336"/>
      <c r="F113" s="336"/>
      <c r="G113" s="336"/>
      <c r="H113" s="23">
        <v>322</v>
      </c>
      <c r="I113" s="8" t="s">
        <v>52</v>
      </c>
      <c r="J113" s="12">
        <f t="shared" ref="J113:Q113" si="114">SUM(J114:J118)</f>
        <v>281981</v>
      </c>
      <c r="K113" s="12">
        <f t="shared" si="114"/>
        <v>293000</v>
      </c>
      <c r="L113" s="12">
        <f t="shared" si="114"/>
        <v>310000</v>
      </c>
      <c r="M113" s="12">
        <f t="shared" si="114"/>
        <v>414000</v>
      </c>
      <c r="N113" s="12">
        <f t="shared" si="114"/>
        <v>54947.242683655182</v>
      </c>
      <c r="O113" s="12">
        <f t="shared" si="114"/>
        <v>55650</v>
      </c>
      <c r="P113" s="12">
        <f t="shared" si="114"/>
        <v>2400</v>
      </c>
      <c r="Q113" s="12">
        <f t="shared" si="114"/>
        <v>58050</v>
      </c>
      <c r="R113" s="749">
        <f t="shared" si="112"/>
        <v>104.31266846361187</v>
      </c>
    </row>
    <row r="114" spans="1:18" x14ac:dyDescent="0.2">
      <c r="A114" s="463"/>
      <c r="B114" s="336"/>
      <c r="C114" s="336"/>
      <c r="D114" s="336"/>
      <c r="E114" s="336"/>
      <c r="F114" s="336"/>
      <c r="G114" s="336"/>
      <c r="H114" s="24">
        <v>3221</v>
      </c>
      <c r="I114" s="15" t="s">
        <v>53</v>
      </c>
      <c r="J114" s="16">
        <v>5612</v>
      </c>
      <c r="K114" s="16">
        <v>15000</v>
      </c>
      <c r="L114" s="16">
        <v>15000</v>
      </c>
      <c r="M114" s="16">
        <f>Posebni!F31+Posebni!F599</f>
        <v>27000</v>
      </c>
      <c r="N114" s="16">
        <f>Posebni!G31+Posebni!G599</f>
        <v>3583.5158271949035</v>
      </c>
      <c r="O114" s="16">
        <f>Posebni!H31+Posebni!H100+Posebni!H599+Posebni!H600</f>
        <v>10400</v>
      </c>
      <c r="P114" s="16">
        <f>Posebni!I31+Posebni!I100+Posebni!I599+Posebni!I600</f>
        <v>150</v>
      </c>
      <c r="Q114" s="16">
        <f>SUM(O114+P114)</f>
        <v>10550</v>
      </c>
      <c r="R114" s="742">
        <f t="shared" si="112"/>
        <v>101.44230769230769</v>
      </c>
    </row>
    <row r="115" spans="1:18" x14ac:dyDescent="0.2">
      <c r="A115" s="463"/>
      <c r="B115" s="336"/>
      <c r="C115" s="336"/>
      <c r="D115" s="336"/>
      <c r="E115" s="336"/>
      <c r="F115" s="336"/>
      <c r="G115" s="336"/>
      <c r="H115" s="24">
        <v>3223</v>
      </c>
      <c r="I115" s="15" t="s">
        <v>54</v>
      </c>
      <c r="J115" s="16">
        <v>251496</v>
      </c>
      <c r="K115" s="16">
        <v>250000</v>
      </c>
      <c r="L115" s="16">
        <v>250000</v>
      </c>
      <c r="M115" s="16">
        <f>Posebni!F304+Posebni!F32</f>
        <v>190000</v>
      </c>
      <c r="N115" s="16">
        <f>Posebni!G304+Posebni!G32</f>
        <v>25217.333598778947</v>
      </c>
      <c r="O115" s="16">
        <f>Posebni!H304+Posebni!H32</f>
        <v>25500</v>
      </c>
      <c r="P115" s="16">
        <f>Posebni!I304+Posebni!I32</f>
        <v>4500</v>
      </c>
      <c r="Q115" s="16">
        <f t="shared" ref="Q115:Q118" si="115">SUM(O115+P115)</f>
        <v>30000</v>
      </c>
      <c r="R115" s="742">
        <f t="shared" si="112"/>
        <v>117.64705882352942</v>
      </c>
    </row>
    <row r="116" spans="1:18" x14ac:dyDescent="0.2">
      <c r="A116" s="463"/>
      <c r="B116" s="336"/>
      <c r="C116" s="336"/>
      <c r="D116" s="336"/>
      <c r="E116" s="336"/>
      <c r="F116" s="336"/>
      <c r="G116" s="336"/>
      <c r="H116" s="24">
        <v>3224</v>
      </c>
      <c r="I116" s="15" t="s">
        <v>156</v>
      </c>
      <c r="J116" s="16">
        <v>21072</v>
      </c>
      <c r="K116" s="16">
        <v>20000</v>
      </c>
      <c r="L116" s="16">
        <v>30000</v>
      </c>
      <c r="M116" s="16">
        <f>Posebni!F33+Posebni!F452</f>
        <v>32000</v>
      </c>
      <c r="N116" s="16">
        <f>Posebni!G33+Posebni!G452</f>
        <v>4247.129869268033</v>
      </c>
      <c r="O116" s="16">
        <f>Posebni!H33+Posebni!H452</f>
        <v>2250</v>
      </c>
      <c r="P116" s="16">
        <f>Posebni!I33+Posebni!I452</f>
        <v>-2250</v>
      </c>
      <c r="Q116" s="16">
        <f t="shared" si="115"/>
        <v>0</v>
      </c>
      <c r="R116" s="742">
        <f t="shared" si="112"/>
        <v>0</v>
      </c>
    </row>
    <row r="117" spans="1:18" x14ac:dyDescent="0.2">
      <c r="A117" s="463"/>
      <c r="B117" s="336"/>
      <c r="C117" s="336"/>
      <c r="D117" s="336"/>
      <c r="E117" s="336"/>
      <c r="F117" s="336"/>
      <c r="G117" s="336"/>
      <c r="H117" s="24">
        <v>3225</v>
      </c>
      <c r="I117" s="15" t="s">
        <v>55</v>
      </c>
      <c r="J117" s="16">
        <v>3801</v>
      </c>
      <c r="K117" s="16">
        <v>8000</v>
      </c>
      <c r="L117" s="16">
        <v>15000</v>
      </c>
      <c r="M117" s="16">
        <f>Posebni!F34+Posebni!F297+Posebni!F358</f>
        <v>145000</v>
      </c>
      <c r="N117" s="16">
        <f>Posebni!G34+Posebni!G297+Posebni!G358</f>
        <v>19244.807220120776</v>
      </c>
      <c r="O117" s="16">
        <f>Posebni!H34+Posebni!H297+Posebni!H358</f>
        <v>12000</v>
      </c>
      <c r="P117" s="16">
        <f>Posebni!I34+Posebni!I297+Posebni!I358</f>
        <v>5500</v>
      </c>
      <c r="Q117" s="16">
        <f t="shared" si="115"/>
        <v>17500</v>
      </c>
      <c r="R117" s="742">
        <f t="shared" si="112"/>
        <v>145.83333333333331</v>
      </c>
    </row>
    <row r="118" spans="1:18" x14ac:dyDescent="0.2">
      <c r="A118" s="463"/>
      <c r="B118" s="336"/>
      <c r="C118" s="336"/>
      <c r="D118" s="336"/>
      <c r="E118" s="336"/>
      <c r="F118" s="336"/>
      <c r="G118" s="336"/>
      <c r="H118" s="24">
        <v>3227</v>
      </c>
      <c r="I118" s="15" t="s">
        <v>135</v>
      </c>
      <c r="J118" s="16">
        <v>0</v>
      </c>
      <c r="K118" s="16">
        <v>0</v>
      </c>
      <c r="L118" s="16">
        <v>0</v>
      </c>
      <c r="M118" s="16">
        <f>Posebni!F35+Posebni!F230</f>
        <v>20000</v>
      </c>
      <c r="N118" s="16">
        <f>Posebni!G35+Posebni!G230</f>
        <v>2654.4561682925209</v>
      </c>
      <c r="O118" s="16">
        <f>Posebni!H35+Posebni!H230</f>
        <v>5500</v>
      </c>
      <c r="P118" s="16">
        <f>Posebni!I35+Posebni!I230</f>
        <v>-5500</v>
      </c>
      <c r="Q118" s="16">
        <f t="shared" si="115"/>
        <v>0</v>
      </c>
      <c r="R118" s="742">
        <f t="shared" si="112"/>
        <v>0</v>
      </c>
    </row>
    <row r="119" spans="1:18" s="1" customFormat="1" x14ac:dyDescent="0.2">
      <c r="A119" s="463"/>
      <c r="B119" s="336"/>
      <c r="C119" s="336" t="s">
        <v>365</v>
      </c>
      <c r="D119" s="336" t="s">
        <v>366</v>
      </c>
      <c r="E119" s="336"/>
      <c r="F119" s="336" t="s">
        <v>368</v>
      </c>
      <c r="G119" s="336"/>
      <c r="H119" s="23">
        <v>323</v>
      </c>
      <c r="I119" s="8" t="s">
        <v>56</v>
      </c>
      <c r="J119" s="12">
        <f t="shared" ref="J119:Q119" si="116">SUM(J120:J127)</f>
        <v>913407</v>
      </c>
      <c r="K119" s="12">
        <f t="shared" si="116"/>
        <v>896000</v>
      </c>
      <c r="L119" s="12">
        <f t="shared" si="116"/>
        <v>1059000</v>
      </c>
      <c r="M119" s="12" t="e">
        <f t="shared" si="116"/>
        <v>#REF!</v>
      </c>
      <c r="N119" s="12" t="e">
        <f t="shared" si="116"/>
        <v>#REF!</v>
      </c>
      <c r="O119" s="12">
        <f t="shared" si="116"/>
        <v>566050</v>
      </c>
      <c r="P119" s="12">
        <f t="shared" si="116"/>
        <v>107585</v>
      </c>
      <c r="Q119" s="12">
        <f t="shared" si="116"/>
        <v>673635</v>
      </c>
      <c r="R119" s="749">
        <f t="shared" si="112"/>
        <v>119.00627153078349</v>
      </c>
    </row>
    <row r="120" spans="1:18" x14ac:dyDescent="0.2">
      <c r="A120" s="463"/>
      <c r="B120" s="336"/>
      <c r="C120" s="336"/>
      <c r="D120" s="336"/>
      <c r="E120" s="336"/>
      <c r="F120" s="336"/>
      <c r="G120" s="336"/>
      <c r="H120" s="24">
        <v>3231</v>
      </c>
      <c r="I120" s="15" t="s">
        <v>57</v>
      </c>
      <c r="J120" s="16">
        <v>32822</v>
      </c>
      <c r="K120" s="16">
        <v>35000</v>
      </c>
      <c r="L120" s="16">
        <v>35000</v>
      </c>
      <c r="M120" s="16">
        <f>Posebni!F37</f>
        <v>45000</v>
      </c>
      <c r="N120" s="16">
        <f>Posebni!G37</f>
        <v>5972.5263786581718</v>
      </c>
      <c r="O120" s="16">
        <f>Posebni!H37</f>
        <v>6000</v>
      </c>
      <c r="P120" s="16">
        <f>Posebni!I37</f>
        <v>500</v>
      </c>
      <c r="Q120" s="16">
        <f>SUM(O120+P120)</f>
        <v>6500</v>
      </c>
      <c r="R120" s="742">
        <f t="shared" si="112"/>
        <v>108.33333333333333</v>
      </c>
    </row>
    <row r="121" spans="1:18" x14ac:dyDescent="0.2">
      <c r="A121" s="463"/>
      <c r="B121" s="336"/>
      <c r="C121" s="336"/>
      <c r="D121" s="336"/>
      <c r="E121" s="336"/>
      <c r="F121" s="336"/>
      <c r="G121" s="336"/>
      <c r="H121" s="24">
        <v>3232</v>
      </c>
      <c r="I121" s="15" t="s">
        <v>58</v>
      </c>
      <c r="J121" s="16">
        <v>498251</v>
      </c>
      <c r="K121" s="16">
        <v>500000</v>
      </c>
      <c r="L121" s="16">
        <v>600000</v>
      </c>
      <c r="M121" s="16" t="e">
        <f>Posebni!F38+Posebni!F306+Posebni!F313+Posebni!F322+Posebni!#REF!+Posebni!#REF!+Posebni!F328+Posebni!F334+Posebni!F340+Posebni!F346+Posebni!F352+Posebni!F368+Posebni!F454+Posebni!F489+Posebni!#REF!+Posebni!#REF!+Posebni!F503</f>
        <v>#REF!</v>
      </c>
      <c r="N121" s="16" t="e">
        <f>Posebni!G38+Posebni!G306+Posebni!G313+Posebni!G322+Posebni!#REF!+Posebni!#REF!+Posebni!G328+Posebni!G334+Posebni!G340+Posebni!G346+Posebni!G352+Posebni!G368+Posebni!G454+Posebni!G489+Posebni!#REF!+Posebni!#REF!+Posebni!G503</f>
        <v>#REF!</v>
      </c>
      <c r="O121" s="16">
        <f>Posebni!H38+Posebni!H306+Posebni!H313+Posebni!H322+Posebni!H328+Posebni!H334+Posebni!H340+Posebni!H346+Posebni!H352+Posebni!H377+Posebni!H383+Posebni!H385+Posebni!H454</f>
        <v>305900</v>
      </c>
      <c r="P121" s="16">
        <f>Posebni!I38+Posebni!I306+Posebni!I313+Posebni!I322+Posebni!I328+Posebni!I334+Posebni!I340+Posebni!I346+Posebni!I352+Posebni!I376+Posebni!I377+Posebni!I383+Posebni!I385+Posebni!I454</f>
        <v>64150</v>
      </c>
      <c r="Q121" s="16">
        <f t="shared" ref="Q121:Q126" si="117">SUM(O121+P121)</f>
        <v>370050</v>
      </c>
      <c r="R121" s="742">
        <f t="shared" si="112"/>
        <v>120.97090552468126</v>
      </c>
    </row>
    <row r="122" spans="1:18" x14ac:dyDescent="0.2">
      <c r="A122" s="463"/>
      <c r="B122" s="336"/>
      <c r="C122" s="336"/>
      <c r="D122" s="336"/>
      <c r="E122" s="336"/>
      <c r="F122" s="336"/>
      <c r="G122" s="336"/>
      <c r="H122" s="24">
        <v>3233</v>
      </c>
      <c r="I122" s="15" t="s">
        <v>59</v>
      </c>
      <c r="J122" s="16">
        <v>76081</v>
      </c>
      <c r="K122" s="16">
        <v>30000</v>
      </c>
      <c r="L122" s="16">
        <v>30000</v>
      </c>
      <c r="M122" s="16">
        <f>Posebni!F39+Posebni!F258+Posebni!F606</f>
        <v>36000</v>
      </c>
      <c r="N122" s="16">
        <f>Posebni!G39+Posebni!G258+Posebni!G606</f>
        <v>4778.0211029265383</v>
      </c>
      <c r="O122" s="16">
        <f>Posebni!H39+Posebni!H258+Posebni!H533+Posebni!H534+Posebni!H535+Posebni!H606+Posebni!H607+Posebni!H637</f>
        <v>24500</v>
      </c>
      <c r="P122" s="16">
        <f>Posebni!I39+Posebni!I258+Posebni!I533+Posebni!I534+Posebni!I535+Posebni!I606+Posebni!I607+Posebni!I637</f>
        <v>1450</v>
      </c>
      <c r="Q122" s="16">
        <f>Posebni!J39+Posebni!J258+Posebni!J533+Posebni!J534+Posebni!J535+Posebni!J606+Posebni!J607+Posebni!J637</f>
        <v>25950</v>
      </c>
      <c r="R122" s="742">
        <f t="shared" si="112"/>
        <v>105.91836734693878</v>
      </c>
    </row>
    <row r="123" spans="1:18" x14ac:dyDescent="0.2">
      <c r="A123" s="463"/>
      <c r="B123" s="336"/>
      <c r="C123" s="336"/>
      <c r="D123" s="336"/>
      <c r="E123" s="336"/>
      <c r="F123" s="336"/>
      <c r="G123" s="336"/>
      <c r="H123" s="24">
        <v>3234</v>
      </c>
      <c r="I123" s="15" t="s">
        <v>60</v>
      </c>
      <c r="J123" s="16">
        <v>148075</v>
      </c>
      <c r="K123" s="16">
        <v>120000</v>
      </c>
      <c r="L123" s="16">
        <v>150000</v>
      </c>
      <c r="M123" s="16">
        <f>Posebni!F40+Posebni!F191+Posebni!F291+Posebni!F312</f>
        <v>305000</v>
      </c>
      <c r="N123" s="16">
        <f>Posebni!G40+Posebni!G191+Posebni!G291+Posebni!G312</f>
        <v>40480.456566460947</v>
      </c>
      <c r="O123" s="16">
        <f>Posebni!H40+Posebni!H191+Posebni!H192+Posebni!H291+Posebni!H312</f>
        <v>68700</v>
      </c>
      <c r="P123" s="16">
        <f>Posebni!I40+Posebni!I191+Posebni!I192+Posebni!I291+Posebni!I312</f>
        <v>11050</v>
      </c>
      <c r="Q123" s="16">
        <f>Posebni!J40+Posebni!J191+Posebni!J192+Posebni!J291+Posebni!J312</f>
        <v>79750</v>
      </c>
      <c r="R123" s="742">
        <f t="shared" si="112"/>
        <v>116.08442503639009</v>
      </c>
    </row>
    <row r="124" spans="1:18" x14ac:dyDescent="0.2">
      <c r="A124" s="463"/>
      <c r="B124" s="336"/>
      <c r="C124" s="336"/>
      <c r="D124" s="336"/>
      <c r="E124" s="336"/>
      <c r="F124" s="336"/>
      <c r="G124" s="336"/>
      <c r="H124" s="24">
        <v>3236</v>
      </c>
      <c r="I124" s="15" t="s">
        <v>61</v>
      </c>
      <c r="J124" s="16">
        <v>0</v>
      </c>
      <c r="K124" s="16">
        <v>1000</v>
      </c>
      <c r="L124" s="16">
        <v>1000</v>
      </c>
      <c r="M124" s="16" t="e">
        <f>Posebni!F41+Posebni!F205+Posebni!#REF!</f>
        <v>#REF!</v>
      </c>
      <c r="N124" s="16" t="e">
        <f>Posebni!G41+Posebni!G205+Posebni!#REF!</f>
        <v>#REF!</v>
      </c>
      <c r="O124" s="16">
        <f>Posebni!H41+Posebni!H205</f>
        <v>6500</v>
      </c>
      <c r="P124" s="16">
        <f>Posebni!I41+Posebni!I205</f>
        <v>-2250</v>
      </c>
      <c r="Q124" s="16">
        <f t="shared" si="117"/>
        <v>4250</v>
      </c>
      <c r="R124" s="742">
        <f t="shared" si="112"/>
        <v>65.384615384615387</v>
      </c>
    </row>
    <row r="125" spans="1:18" x14ac:dyDescent="0.2">
      <c r="A125" s="463"/>
      <c r="B125" s="336"/>
      <c r="C125" s="336"/>
      <c r="D125" s="336"/>
      <c r="E125" s="336"/>
      <c r="F125" s="336"/>
      <c r="G125" s="336"/>
      <c r="H125" s="24">
        <v>3237</v>
      </c>
      <c r="I125" s="15" t="s">
        <v>62</v>
      </c>
      <c r="J125" s="16">
        <v>134917</v>
      </c>
      <c r="K125" s="16">
        <v>180000</v>
      </c>
      <c r="L125" s="16">
        <v>200000</v>
      </c>
      <c r="M125" s="16">
        <f>Posebni!F42+Posebni!F78+Posebni!F127+Posebni!F237+Posebni!F238</f>
        <v>295000</v>
      </c>
      <c r="N125" s="16">
        <f>Posebni!G42+Posebni!G78+Posebni!G127+Posebni!G237+Posebni!G238</f>
        <v>39153.228482314684</v>
      </c>
      <c r="O125" s="16">
        <f>Posebni!H42+Posebni!H78+Posebni!H127+Posebni!H236+Posebni!H370+Posebni!H482+Posebni!H483+Posebni!H523+Posebni!H524+Posebni!H525+Posebni!H528+Posebni!H529+Posebni!H530+Posebni!H608+Posebni!H609</f>
        <v>125950</v>
      </c>
      <c r="P125" s="16">
        <f>Posebni!I42+Posebni!I78+Posebni!I127+Posebni!I236+Posebni!I370+Posebni!I482+Posebni!I483+Posebni!I523+Posebni!I524+Posebni!I525+Posebni!I528+Posebni!I529+Posebni!I530+Posebni!I608+Posebni!I609</f>
        <v>21685</v>
      </c>
      <c r="Q125" s="16">
        <f>Posebni!J42+Posebni!J78+Posebni!J127+Posebni!J236+Posebni!J370+Posebni!J482+Posebni!J483+Posebni!J523+Posebni!J524+Posebni!J525+Posebni!J528+Posebni!J529+Posebni!J530+Posebni!J608+Posebni!J609</f>
        <v>147635</v>
      </c>
      <c r="R125" s="742">
        <f t="shared" si="112"/>
        <v>117.21714966256451</v>
      </c>
    </row>
    <row r="126" spans="1:18" x14ac:dyDescent="0.2">
      <c r="A126" s="463"/>
      <c r="B126" s="336"/>
      <c r="C126" s="336"/>
      <c r="D126" s="336"/>
      <c r="E126" s="336"/>
      <c r="F126" s="336"/>
      <c r="G126" s="336"/>
      <c r="H126" s="24">
        <v>3238</v>
      </c>
      <c r="I126" s="15" t="s">
        <v>63</v>
      </c>
      <c r="J126" s="16">
        <v>3376</v>
      </c>
      <c r="K126" s="16">
        <v>5000</v>
      </c>
      <c r="L126" s="16">
        <v>13000</v>
      </c>
      <c r="M126" s="16">
        <f>Posebni!F43</f>
        <v>25000</v>
      </c>
      <c r="N126" s="16">
        <f>Posebni!G43</f>
        <v>3318.0702103656513</v>
      </c>
      <c r="O126" s="16">
        <f>Posebni!H43</f>
        <v>4000</v>
      </c>
      <c r="P126" s="16">
        <f>Posebni!I43</f>
        <v>0</v>
      </c>
      <c r="Q126" s="16">
        <f t="shared" si="117"/>
        <v>4000</v>
      </c>
      <c r="R126" s="742">
        <f t="shared" si="112"/>
        <v>100</v>
      </c>
    </row>
    <row r="127" spans="1:18" x14ac:dyDescent="0.2">
      <c r="A127" s="463"/>
      <c r="B127" s="336"/>
      <c r="C127" s="336"/>
      <c r="D127" s="336"/>
      <c r="E127" s="336"/>
      <c r="F127" s="336"/>
      <c r="G127" s="336"/>
      <c r="H127" s="24">
        <v>3239</v>
      </c>
      <c r="I127" s="15" t="s">
        <v>64</v>
      </c>
      <c r="J127" s="16">
        <v>19885</v>
      </c>
      <c r="K127" s="16">
        <v>25000</v>
      </c>
      <c r="L127" s="16">
        <v>30000</v>
      </c>
      <c r="M127" s="16" t="e">
        <f>Posebni!F44+Posebni!F102+Posebni!#REF!+Posebni!F259+Posebni!F360</f>
        <v>#REF!</v>
      </c>
      <c r="N127" s="16" t="e">
        <f>Posebni!G44+Posebni!G102+Posebni!#REF!+Posebni!G259+Posebni!G360</f>
        <v>#REF!</v>
      </c>
      <c r="O127" s="16">
        <f>Posebni!H44+Posebni!H102+Posebni!H259+Posebni!H360+Posebni!H638</f>
        <v>24500</v>
      </c>
      <c r="P127" s="16">
        <f>Posebni!I44+Posebni!I102+Posebni!I259+Posebni!I360+Posebni!I638</f>
        <v>11000</v>
      </c>
      <c r="Q127" s="16">
        <f>Posebni!J44+Posebni!J102+Posebni!J259+Posebni!J360+Posebni!J638</f>
        <v>35500</v>
      </c>
      <c r="R127" s="742">
        <f t="shared" si="112"/>
        <v>144.89795918367346</v>
      </c>
    </row>
    <row r="128" spans="1:18" s="28" customFormat="1" x14ac:dyDescent="0.2">
      <c r="A128" s="463"/>
      <c r="B128" s="336"/>
      <c r="C128" s="336"/>
      <c r="D128" s="336"/>
      <c r="E128" s="336"/>
      <c r="F128" s="336"/>
      <c r="G128" s="336"/>
      <c r="H128" s="27">
        <v>324</v>
      </c>
      <c r="I128" s="326" t="s">
        <v>362</v>
      </c>
      <c r="J128" s="29">
        <f t="shared" ref="J128:Q128" si="118">SUM(J129)</f>
        <v>0</v>
      </c>
      <c r="K128" s="29">
        <f t="shared" si="118"/>
        <v>1000</v>
      </c>
      <c r="L128" s="29">
        <f t="shared" si="118"/>
        <v>1000</v>
      </c>
      <c r="M128" s="29">
        <f t="shared" si="118"/>
        <v>35000</v>
      </c>
      <c r="N128" s="29">
        <f t="shared" si="118"/>
        <v>4645.298294511912</v>
      </c>
      <c r="O128" s="12">
        <f t="shared" si="118"/>
        <v>6500</v>
      </c>
      <c r="P128" s="12">
        <f t="shared" si="118"/>
        <v>1500</v>
      </c>
      <c r="Q128" s="12">
        <f t="shared" si="118"/>
        <v>8000</v>
      </c>
      <c r="R128" s="749">
        <f t="shared" si="112"/>
        <v>123.07692307692308</v>
      </c>
    </row>
    <row r="129" spans="1:18" x14ac:dyDescent="0.2">
      <c r="A129" s="463"/>
      <c r="B129" s="336"/>
      <c r="C129" s="336"/>
      <c r="D129" s="336"/>
      <c r="E129" s="336"/>
      <c r="F129" s="336"/>
      <c r="G129" s="336"/>
      <c r="H129" s="26">
        <v>3241</v>
      </c>
      <c r="I129" s="10" t="s">
        <v>145</v>
      </c>
      <c r="J129" s="16">
        <v>0</v>
      </c>
      <c r="K129" s="16">
        <v>1000</v>
      </c>
      <c r="L129" s="16">
        <v>1000</v>
      </c>
      <c r="M129" s="16">
        <f>Posebni!F46</f>
        <v>35000</v>
      </c>
      <c r="N129" s="16">
        <f>Posebni!G46</f>
        <v>4645.298294511912</v>
      </c>
      <c r="O129" s="16">
        <f>Posebni!H46</f>
        <v>6500</v>
      </c>
      <c r="P129" s="16">
        <f>Posebni!I46</f>
        <v>1500</v>
      </c>
      <c r="Q129" s="16">
        <f>SUM(O129+P129)</f>
        <v>8000</v>
      </c>
      <c r="R129" s="742">
        <f t="shared" si="112"/>
        <v>123.07692307692308</v>
      </c>
    </row>
    <row r="130" spans="1:18" s="1" customFormat="1" x14ac:dyDescent="0.2">
      <c r="A130" s="463"/>
      <c r="B130" s="336"/>
      <c r="C130" s="336"/>
      <c r="D130" s="336"/>
      <c r="E130" s="336"/>
      <c r="F130" s="336"/>
      <c r="G130" s="336"/>
      <c r="H130" s="23">
        <v>329</v>
      </c>
      <c r="I130" s="8" t="s">
        <v>65</v>
      </c>
      <c r="J130" s="12">
        <f t="shared" ref="J130:O130" si="119">SUM(J131:J136)</f>
        <v>263498</v>
      </c>
      <c r="K130" s="12">
        <f t="shared" si="119"/>
        <v>174000</v>
      </c>
      <c r="L130" s="12">
        <f t="shared" si="119"/>
        <v>224000</v>
      </c>
      <c r="M130" s="12">
        <f t="shared" si="119"/>
        <v>292000</v>
      </c>
      <c r="N130" s="12">
        <f t="shared" si="119"/>
        <v>38755.060057070805</v>
      </c>
      <c r="O130" s="12">
        <f t="shared" si="119"/>
        <v>88600</v>
      </c>
      <c r="P130" s="12">
        <f t="shared" ref="P130:Q130" si="120">SUM(P131:P136)</f>
        <v>-22700</v>
      </c>
      <c r="Q130" s="12">
        <f t="shared" si="120"/>
        <v>65900</v>
      </c>
      <c r="R130" s="749">
        <f t="shared" si="112"/>
        <v>74.379232505643344</v>
      </c>
    </row>
    <row r="131" spans="1:18" x14ac:dyDescent="0.2">
      <c r="A131" s="463"/>
      <c r="B131" s="336"/>
      <c r="C131" s="336"/>
      <c r="D131" s="336"/>
      <c r="E131" s="336"/>
      <c r="F131" s="336"/>
      <c r="G131" s="336"/>
      <c r="H131" s="24">
        <v>3291</v>
      </c>
      <c r="I131" s="44" t="s">
        <v>344</v>
      </c>
      <c r="J131" s="16">
        <v>139148</v>
      </c>
      <c r="K131" s="16">
        <v>50000</v>
      </c>
      <c r="L131" s="16">
        <v>100000</v>
      </c>
      <c r="M131" s="16">
        <f>Posebni!F91+Posebni!F104</f>
        <v>140000</v>
      </c>
      <c r="N131" s="16">
        <f>Posebni!G91+Posebni!G104</f>
        <v>18581.193178047648</v>
      </c>
      <c r="O131" s="16">
        <f>Posebni!H91+Posebni!H104</f>
        <v>56500</v>
      </c>
      <c r="P131" s="16">
        <f>Posebni!I91+Posebni!I104</f>
        <v>-20350</v>
      </c>
      <c r="Q131" s="16">
        <f>SUM(O131+P131)</f>
        <v>36150</v>
      </c>
      <c r="R131" s="742">
        <f t="shared" si="112"/>
        <v>63.982300884955755</v>
      </c>
    </row>
    <row r="132" spans="1:18" x14ac:dyDescent="0.2">
      <c r="A132" s="463"/>
      <c r="B132" s="336"/>
      <c r="C132" s="336"/>
      <c r="D132" s="336"/>
      <c r="E132" s="336"/>
      <c r="F132" s="336"/>
      <c r="G132" s="336"/>
      <c r="H132" s="24">
        <v>3292</v>
      </c>
      <c r="I132" s="15" t="s">
        <v>67</v>
      </c>
      <c r="J132" s="16">
        <v>11718</v>
      </c>
      <c r="K132" s="16">
        <v>12000</v>
      </c>
      <c r="L132" s="16">
        <v>12000</v>
      </c>
      <c r="M132" s="16">
        <f>Posebni!F48</f>
        <v>15000</v>
      </c>
      <c r="N132" s="16">
        <f>Posebni!G48</f>
        <v>1990.8421262193906</v>
      </c>
      <c r="O132" s="16">
        <f>Posebni!H48</f>
        <v>4000</v>
      </c>
      <c r="P132" s="16">
        <f>Posebni!I48</f>
        <v>-2700</v>
      </c>
      <c r="Q132" s="16">
        <f t="shared" ref="Q132:Q136" si="121">SUM(O132+P132)</f>
        <v>1300</v>
      </c>
      <c r="R132" s="742">
        <f t="shared" si="112"/>
        <v>32.5</v>
      </c>
    </row>
    <row r="133" spans="1:18" x14ac:dyDescent="0.2">
      <c r="A133" s="463"/>
      <c r="B133" s="336"/>
      <c r="C133" s="336"/>
      <c r="D133" s="336"/>
      <c r="E133" s="336"/>
      <c r="F133" s="336"/>
      <c r="G133" s="336"/>
      <c r="H133" s="24">
        <v>3293</v>
      </c>
      <c r="I133" s="15" t="s">
        <v>68</v>
      </c>
      <c r="J133" s="16">
        <v>79821</v>
      </c>
      <c r="K133" s="16">
        <v>80000</v>
      </c>
      <c r="L133" s="16">
        <v>80000</v>
      </c>
      <c r="M133" s="16">
        <f>Posebni!F49+Posebni!F92+Posebni!F261+Posebni!F611</f>
        <v>45000</v>
      </c>
      <c r="N133" s="16">
        <f>Posebni!G49+Posebni!G92+Posebni!G261+Posebni!G611</f>
        <v>5972.5263786581718</v>
      </c>
      <c r="O133" s="16">
        <f>Posebni!H49+Posebni!H92+Posebni!H261+Posebni!H611+Posebni!H640</f>
        <v>15600</v>
      </c>
      <c r="P133" s="16">
        <f>Posebni!I49+Posebni!I92+Posebni!I261+Posebni!I611+Posebni!I640</f>
        <v>500</v>
      </c>
      <c r="Q133" s="16">
        <f>Posebni!J49+Posebni!J92+Posebni!J261+Posebni!J611+Posebni!J640</f>
        <v>16100</v>
      </c>
      <c r="R133" s="742">
        <f t="shared" si="112"/>
        <v>103.20512820512822</v>
      </c>
    </row>
    <row r="134" spans="1:18" x14ac:dyDescent="0.2">
      <c r="A134" s="463"/>
      <c r="B134" s="336"/>
      <c r="C134" s="336"/>
      <c r="D134" s="336"/>
      <c r="E134" s="336"/>
      <c r="F134" s="336"/>
      <c r="G134" s="336"/>
      <c r="H134" s="24">
        <v>3294</v>
      </c>
      <c r="I134" s="15" t="s">
        <v>69</v>
      </c>
      <c r="J134" s="16">
        <v>2859</v>
      </c>
      <c r="K134" s="16">
        <v>4000</v>
      </c>
      <c r="L134" s="16">
        <v>4000</v>
      </c>
      <c r="M134" s="16">
        <f>Posebni!F93</f>
        <v>30000</v>
      </c>
      <c r="N134" s="16">
        <f>Posebni!G93</f>
        <v>3981.6842524387812</v>
      </c>
      <c r="O134" s="16">
        <f>Posebni!H93</f>
        <v>4000</v>
      </c>
      <c r="P134" s="16">
        <f>Posebni!I93</f>
        <v>-650</v>
      </c>
      <c r="Q134" s="16">
        <f t="shared" si="121"/>
        <v>3350</v>
      </c>
      <c r="R134" s="742">
        <f t="shared" si="112"/>
        <v>83.75</v>
      </c>
    </row>
    <row r="135" spans="1:18" x14ac:dyDescent="0.2">
      <c r="A135" s="463"/>
      <c r="B135" s="336"/>
      <c r="C135" s="336"/>
      <c r="D135" s="336"/>
      <c r="E135" s="336"/>
      <c r="F135" s="336"/>
      <c r="G135" s="336"/>
      <c r="H135" s="24">
        <v>3295</v>
      </c>
      <c r="I135" s="15" t="s">
        <v>131</v>
      </c>
      <c r="J135" s="16">
        <v>1243</v>
      </c>
      <c r="K135" s="16">
        <v>4000</v>
      </c>
      <c r="L135" s="16">
        <v>4000</v>
      </c>
      <c r="M135" s="16">
        <f>Posebni!F50</f>
        <v>50000</v>
      </c>
      <c r="N135" s="16">
        <f>Posebni!G50</f>
        <v>6636.1404207313026</v>
      </c>
      <c r="O135" s="16">
        <f>Posebni!H50</f>
        <v>7000</v>
      </c>
      <c r="P135" s="16">
        <f>Posebni!I50</f>
        <v>700</v>
      </c>
      <c r="Q135" s="16">
        <f t="shared" si="121"/>
        <v>7700</v>
      </c>
      <c r="R135" s="742">
        <f t="shared" si="112"/>
        <v>110.00000000000001</v>
      </c>
    </row>
    <row r="136" spans="1:18" x14ac:dyDescent="0.2">
      <c r="A136" s="465"/>
      <c r="B136" s="340"/>
      <c r="C136" s="340"/>
      <c r="D136" s="340"/>
      <c r="E136" s="340"/>
      <c r="F136" s="340"/>
      <c r="G136" s="340"/>
      <c r="H136" s="33">
        <v>3299</v>
      </c>
      <c r="I136" s="34" t="s">
        <v>65</v>
      </c>
      <c r="J136" s="17">
        <v>28709</v>
      </c>
      <c r="K136" s="17">
        <v>24000</v>
      </c>
      <c r="L136" s="17">
        <v>24000</v>
      </c>
      <c r="M136" s="17">
        <f>Posebni!F51+Posebni!F262</f>
        <v>12000</v>
      </c>
      <c r="N136" s="17">
        <f>Posebni!G51+Posebni!G262</f>
        <v>1592.6737009755125</v>
      </c>
      <c r="O136" s="17">
        <f>Posebni!H51+Posebni!H262</f>
        <v>1500</v>
      </c>
      <c r="P136" s="17">
        <f>Posebni!I51+Posebni!I262</f>
        <v>-200</v>
      </c>
      <c r="Q136" s="16">
        <f t="shared" si="121"/>
        <v>1300</v>
      </c>
      <c r="R136" s="742">
        <f t="shared" si="112"/>
        <v>86.666666666666671</v>
      </c>
    </row>
    <row r="137" spans="1:18" s="65" customFormat="1" x14ac:dyDescent="0.2">
      <c r="A137" s="464"/>
      <c r="B137" s="346"/>
      <c r="C137" s="346"/>
      <c r="D137" s="346"/>
      <c r="E137" s="346"/>
      <c r="F137" s="346"/>
      <c r="G137" s="346"/>
      <c r="H137" s="66">
        <v>34</v>
      </c>
      <c r="I137" s="67" t="s">
        <v>70</v>
      </c>
      <c r="J137" s="68">
        <f t="shared" ref="J137:O137" si="122">SUM(J138+J140)</f>
        <v>64117</v>
      </c>
      <c r="K137" s="68">
        <f t="shared" si="122"/>
        <v>21000</v>
      </c>
      <c r="L137" s="68">
        <f t="shared" si="122"/>
        <v>56000</v>
      </c>
      <c r="M137" s="68">
        <f t="shared" si="122"/>
        <v>35000</v>
      </c>
      <c r="N137" s="68">
        <f t="shared" si="122"/>
        <v>4645.2982945119111</v>
      </c>
      <c r="O137" s="68">
        <f t="shared" si="122"/>
        <v>4600</v>
      </c>
      <c r="P137" s="68">
        <f t="shared" ref="P137:Q137" si="123">SUM(P138+P140)</f>
        <v>-1800</v>
      </c>
      <c r="Q137" s="68">
        <f t="shared" si="123"/>
        <v>2800</v>
      </c>
      <c r="R137" s="748">
        <f>Q137/O137*100</f>
        <v>60.869565217391312</v>
      </c>
    </row>
    <row r="138" spans="1:18" s="1" customFormat="1" x14ac:dyDescent="0.2">
      <c r="A138" s="463"/>
      <c r="B138" s="336"/>
      <c r="C138" s="336"/>
      <c r="D138" s="336"/>
      <c r="E138" s="336"/>
      <c r="F138" s="336"/>
      <c r="G138" s="336"/>
      <c r="H138" s="23">
        <v>342</v>
      </c>
      <c r="I138" s="8" t="s">
        <v>147</v>
      </c>
      <c r="J138" s="12">
        <f t="shared" ref="J138:Q138" si="124">SUM(J139)</f>
        <v>44812</v>
      </c>
      <c r="K138" s="12">
        <f t="shared" si="124"/>
        <v>5000</v>
      </c>
      <c r="L138" s="12">
        <f t="shared" si="124"/>
        <v>40000</v>
      </c>
      <c r="M138" s="12">
        <f t="shared" si="124"/>
        <v>0</v>
      </c>
      <c r="N138" s="12">
        <f t="shared" si="124"/>
        <v>0</v>
      </c>
      <c r="O138" s="12">
        <f t="shared" si="124"/>
        <v>0</v>
      </c>
      <c r="P138" s="12">
        <f t="shared" si="124"/>
        <v>0</v>
      </c>
      <c r="Q138" s="12">
        <f t="shared" si="124"/>
        <v>0</v>
      </c>
      <c r="R138" s="742" t="e">
        <f>Q138/O138*100</f>
        <v>#DIV/0!</v>
      </c>
    </row>
    <row r="139" spans="1:18" s="2" customFormat="1" ht="33.75" x14ac:dyDescent="0.2">
      <c r="A139" s="463"/>
      <c r="B139" s="336"/>
      <c r="C139" s="336"/>
      <c r="D139" s="336"/>
      <c r="E139" s="336"/>
      <c r="F139" s="336"/>
      <c r="G139" s="336"/>
      <c r="H139" s="24">
        <v>3423</v>
      </c>
      <c r="I139" s="15" t="s">
        <v>148</v>
      </c>
      <c r="J139" s="16">
        <v>44812</v>
      </c>
      <c r="K139" s="16">
        <v>5000</v>
      </c>
      <c r="L139" s="16">
        <v>40000</v>
      </c>
      <c r="M139" s="16">
        <v>0</v>
      </c>
      <c r="N139" s="16">
        <v>0</v>
      </c>
      <c r="O139" s="16">
        <v>0</v>
      </c>
      <c r="P139" s="16">
        <v>0</v>
      </c>
      <c r="Q139" s="16">
        <f>SUM(O139+P139)</f>
        <v>0</v>
      </c>
      <c r="R139" s="742" t="e">
        <f t="shared" ref="R139:R143" si="125">Q139/O139*100</f>
        <v>#DIV/0!</v>
      </c>
    </row>
    <row r="140" spans="1:18" s="1" customFormat="1" x14ac:dyDescent="0.2">
      <c r="A140" s="463"/>
      <c r="B140" s="336"/>
      <c r="C140" s="336"/>
      <c r="D140" s="336"/>
      <c r="E140" s="336"/>
      <c r="F140" s="336"/>
      <c r="G140" s="336"/>
      <c r="H140" s="23">
        <v>343</v>
      </c>
      <c r="I140" s="8" t="s">
        <v>71</v>
      </c>
      <c r="J140" s="12">
        <f t="shared" ref="J140:O140" si="126">SUM(J141:J143)</f>
        <v>19305</v>
      </c>
      <c r="K140" s="12">
        <f t="shared" si="126"/>
        <v>16000</v>
      </c>
      <c r="L140" s="12">
        <f t="shared" si="126"/>
        <v>16000</v>
      </c>
      <c r="M140" s="12">
        <f t="shared" si="126"/>
        <v>35000</v>
      </c>
      <c r="N140" s="12">
        <f t="shared" si="126"/>
        <v>4645.2982945119111</v>
      </c>
      <c r="O140" s="12">
        <f t="shared" si="126"/>
        <v>4600</v>
      </c>
      <c r="P140" s="12">
        <f t="shared" ref="P140:Q140" si="127">SUM(P141:P143)</f>
        <v>-1800</v>
      </c>
      <c r="Q140" s="12">
        <f t="shared" si="127"/>
        <v>2800</v>
      </c>
      <c r="R140" s="749">
        <f t="shared" si="125"/>
        <v>60.869565217391312</v>
      </c>
    </row>
    <row r="141" spans="1:18" x14ac:dyDescent="0.2">
      <c r="A141" s="463"/>
      <c r="B141" s="336"/>
      <c r="C141" s="336"/>
      <c r="D141" s="336"/>
      <c r="E141" s="336"/>
      <c r="F141" s="336"/>
      <c r="G141" s="336"/>
      <c r="H141" s="24">
        <v>3431</v>
      </c>
      <c r="I141" s="15" t="s">
        <v>149</v>
      </c>
      <c r="J141" s="16">
        <v>17392</v>
      </c>
      <c r="K141" s="16">
        <v>11000</v>
      </c>
      <c r="L141" s="16">
        <v>11000</v>
      </c>
      <c r="M141" s="16">
        <f>Posebni!F54</f>
        <v>20000</v>
      </c>
      <c r="N141" s="16">
        <f>Posebni!G54</f>
        <v>2654.4561682925209</v>
      </c>
      <c r="O141" s="16">
        <f>Posebni!H54</f>
        <v>2500</v>
      </c>
      <c r="P141" s="16">
        <f>Posebni!I54</f>
        <v>-200</v>
      </c>
      <c r="Q141" s="16">
        <f>SUM(O141+P141)</f>
        <v>2300</v>
      </c>
      <c r="R141" s="742">
        <f t="shared" si="125"/>
        <v>92</v>
      </c>
    </row>
    <row r="142" spans="1:18" x14ac:dyDescent="0.2">
      <c r="A142" s="463"/>
      <c r="B142" s="336"/>
      <c r="C142" s="336"/>
      <c r="D142" s="336"/>
      <c r="E142" s="336"/>
      <c r="F142" s="336"/>
      <c r="G142" s="336"/>
      <c r="H142" s="24">
        <v>3433</v>
      </c>
      <c r="I142" s="15" t="s">
        <v>146</v>
      </c>
      <c r="J142" s="16">
        <v>3</v>
      </c>
      <c r="K142" s="16">
        <v>1000</v>
      </c>
      <c r="L142" s="16">
        <v>1000</v>
      </c>
      <c r="M142" s="16">
        <f>Posebni!F55</f>
        <v>10000</v>
      </c>
      <c r="N142" s="16">
        <f>Posebni!G55</f>
        <v>1327.2280841462605</v>
      </c>
      <c r="O142" s="16">
        <f>Posebni!H55</f>
        <v>1400</v>
      </c>
      <c r="P142" s="16">
        <f>Posebni!I55</f>
        <v>-1400</v>
      </c>
      <c r="Q142" s="16">
        <f t="shared" ref="Q142:Q143" si="128">SUM(O142+P142)</f>
        <v>0</v>
      </c>
      <c r="R142" s="742">
        <f t="shared" si="125"/>
        <v>0</v>
      </c>
    </row>
    <row r="143" spans="1:18" x14ac:dyDescent="0.2">
      <c r="A143" s="463"/>
      <c r="B143" s="336"/>
      <c r="C143" s="336"/>
      <c r="D143" s="336"/>
      <c r="E143" s="336"/>
      <c r="F143" s="336"/>
      <c r="G143" s="336"/>
      <c r="H143" s="24">
        <v>3434</v>
      </c>
      <c r="I143" s="15" t="s">
        <v>74</v>
      </c>
      <c r="J143" s="16">
        <v>1910</v>
      </c>
      <c r="K143" s="16">
        <v>4000</v>
      </c>
      <c r="L143" s="16">
        <v>4000</v>
      </c>
      <c r="M143" s="16">
        <f>Posebni!F56</f>
        <v>5000</v>
      </c>
      <c r="N143" s="16">
        <f>Posebni!G56</f>
        <v>663.61404207313024</v>
      </c>
      <c r="O143" s="16">
        <f>Posebni!H56</f>
        <v>700</v>
      </c>
      <c r="P143" s="16">
        <f>Posebni!I56</f>
        <v>-200</v>
      </c>
      <c r="Q143" s="16">
        <f t="shared" si="128"/>
        <v>500</v>
      </c>
      <c r="R143" s="742">
        <f t="shared" si="125"/>
        <v>71.428571428571431</v>
      </c>
    </row>
    <row r="144" spans="1:18" s="65" customFormat="1" x14ac:dyDescent="0.2">
      <c r="A144" s="464"/>
      <c r="B144" s="346"/>
      <c r="C144" s="346"/>
      <c r="D144" s="346"/>
      <c r="E144" s="346"/>
      <c r="F144" s="346"/>
      <c r="G144" s="346"/>
      <c r="H144" s="66">
        <v>35</v>
      </c>
      <c r="I144" s="67" t="s">
        <v>75</v>
      </c>
      <c r="J144" s="68">
        <f t="shared" ref="J144:Q144" si="129">SUM(J145)</f>
        <v>0</v>
      </c>
      <c r="K144" s="68">
        <f t="shared" si="129"/>
        <v>0</v>
      </c>
      <c r="L144" s="68">
        <f t="shared" si="129"/>
        <v>0</v>
      </c>
      <c r="M144" s="68" t="e">
        <f t="shared" si="129"/>
        <v>#REF!</v>
      </c>
      <c r="N144" s="68" t="e">
        <f t="shared" si="129"/>
        <v>#REF!</v>
      </c>
      <c r="O144" s="68">
        <f t="shared" si="129"/>
        <v>30000</v>
      </c>
      <c r="P144" s="68">
        <f t="shared" si="129"/>
        <v>-9000</v>
      </c>
      <c r="Q144" s="68">
        <f t="shared" si="129"/>
        <v>21000</v>
      </c>
      <c r="R144" s="748">
        <f>Q144/O144*100</f>
        <v>70</v>
      </c>
    </row>
    <row r="145" spans="1:18" s="1" customFormat="1" ht="22.5" x14ac:dyDescent="0.2">
      <c r="A145" s="463"/>
      <c r="B145" s="336"/>
      <c r="C145" s="336"/>
      <c r="D145" s="336"/>
      <c r="E145" s="336"/>
      <c r="F145" s="336"/>
      <c r="G145" s="336"/>
      <c r="H145" s="23">
        <v>352</v>
      </c>
      <c r="I145" s="8" t="s">
        <v>157</v>
      </c>
      <c r="J145" s="12">
        <f>SUM(J147)</f>
        <v>0</v>
      </c>
      <c r="K145" s="12">
        <f>SUM(K147)</f>
        <v>0</v>
      </c>
      <c r="L145" s="12">
        <f>SUM(L147)</f>
        <v>0</v>
      </c>
      <c r="M145" s="12" t="e">
        <f t="shared" ref="M145:Q145" si="130">SUM(M146+M147)</f>
        <v>#REF!</v>
      </c>
      <c r="N145" s="12" t="e">
        <f t="shared" si="130"/>
        <v>#REF!</v>
      </c>
      <c r="O145" s="12">
        <f t="shared" si="130"/>
        <v>30000</v>
      </c>
      <c r="P145" s="12">
        <f t="shared" si="130"/>
        <v>-9000</v>
      </c>
      <c r="Q145" s="12">
        <f t="shared" si="130"/>
        <v>21000</v>
      </c>
      <c r="R145" s="749">
        <f>Q145/O145*100</f>
        <v>70</v>
      </c>
    </row>
    <row r="146" spans="1:18" s="1" customFormat="1" ht="22.5" x14ac:dyDescent="0.2">
      <c r="A146" s="463"/>
      <c r="B146" s="336"/>
      <c r="C146" s="336"/>
      <c r="D146" s="336"/>
      <c r="E146" s="336"/>
      <c r="F146" s="336"/>
      <c r="G146" s="336"/>
      <c r="H146" s="26">
        <v>3522</v>
      </c>
      <c r="I146" s="10" t="s">
        <v>385</v>
      </c>
      <c r="J146" s="12"/>
      <c r="K146" s="12"/>
      <c r="L146" s="12"/>
      <c r="M146" s="11">
        <f>Posebni!F114</f>
        <v>100000</v>
      </c>
      <c r="N146" s="11">
        <f>Posebni!G114</f>
        <v>13272.280841462605</v>
      </c>
      <c r="O146" s="16">
        <f>Posebni!H114</f>
        <v>15000</v>
      </c>
      <c r="P146" s="16">
        <f>Posebni!I114</f>
        <v>-1000</v>
      </c>
      <c r="Q146" s="16">
        <f>SUM(O146+P146)</f>
        <v>14000</v>
      </c>
      <c r="R146" s="742">
        <f t="shared" ref="R146:R147" si="131">Q146/O146*100</f>
        <v>93.333333333333329</v>
      </c>
    </row>
    <row r="147" spans="1:18" ht="22.5" x14ac:dyDescent="0.2">
      <c r="A147" s="463"/>
      <c r="B147" s="336"/>
      <c r="C147" s="336"/>
      <c r="D147" s="336"/>
      <c r="E147" s="336"/>
      <c r="F147" s="336"/>
      <c r="G147" s="336"/>
      <c r="H147" s="24">
        <v>3523</v>
      </c>
      <c r="I147" s="15" t="s">
        <v>76</v>
      </c>
      <c r="J147" s="16">
        <v>0</v>
      </c>
      <c r="K147" s="16">
        <v>0</v>
      </c>
      <c r="L147" s="16">
        <v>0</v>
      </c>
      <c r="M147" s="16" t="e">
        <f>Posebni!F120+Posebni!#REF!</f>
        <v>#REF!</v>
      </c>
      <c r="N147" s="16" t="e">
        <f>Posebni!G120+Posebni!#REF!</f>
        <v>#REF!</v>
      </c>
      <c r="O147" s="16">
        <f>Posebni!H120</f>
        <v>15000</v>
      </c>
      <c r="P147" s="16">
        <f>Posebni!I120</f>
        <v>-8000</v>
      </c>
      <c r="Q147" s="16">
        <f>SUM(O147+P147)</f>
        <v>7000</v>
      </c>
      <c r="R147" s="742">
        <f t="shared" si="131"/>
        <v>46.666666666666664</v>
      </c>
    </row>
    <row r="148" spans="1:18" s="65" customFormat="1" ht="22.5" hidden="1" x14ac:dyDescent="0.2">
      <c r="A148" s="464"/>
      <c r="B148" s="346"/>
      <c r="C148" s="346"/>
      <c r="D148" s="346"/>
      <c r="E148" s="346"/>
      <c r="F148" s="346"/>
      <c r="G148" s="346"/>
      <c r="H148" s="605">
        <v>36</v>
      </c>
      <c r="I148" s="67" t="s">
        <v>136</v>
      </c>
      <c r="J148" s="68">
        <f t="shared" ref="J148:Q148" si="132">SUM(J149)</f>
        <v>0</v>
      </c>
      <c r="K148" s="68">
        <f t="shared" si="132"/>
        <v>15000</v>
      </c>
      <c r="L148" s="68">
        <f t="shared" si="132"/>
        <v>50000</v>
      </c>
      <c r="M148" s="68" t="e">
        <f t="shared" si="132"/>
        <v>#REF!</v>
      </c>
      <c r="N148" s="68" t="e">
        <f t="shared" si="132"/>
        <v>#REF!</v>
      </c>
      <c r="O148" s="68">
        <f t="shared" si="132"/>
        <v>0</v>
      </c>
      <c r="P148" s="68">
        <f t="shared" si="132"/>
        <v>0</v>
      </c>
      <c r="Q148" s="68">
        <f t="shared" si="132"/>
        <v>0</v>
      </c>
      <c r="R148" s="751" t="e">
        <f>P148/O148*100</f>
        <v>#DIV/0!</v>
      </c>
    </row>
    <row r="149" spans="1:18" s="1" customFormat="1" hidden="1" x14ac:dyDescent="0.2">
      <c r="A149" s="463"/>
      <c r="B149" s="336"/>
      <c r="C149" s="336"/>
      <c r="D149" s="336" t="s">
        <v>366</v>
      </c>
      <c r="E149" s="336" t="s">
        <v>367</v>
      </c>
      <c r="F149" s="336"/>
      <c r="G149" s="336"/>
      <c r="H149" s="605">
        <v>363</v>
      </c>
      <c r="I149" s="8" t="s">
        <v>139</v>
      </c>
      <c r="J149" s="12">
        <f t="shared" ref="J149:O149" si="133">SUM(J150:J151)</f>
        <v>0</v>
      </c>
      <c r="K149" s="12">
        <f t="shared" si="133"/>
        <v>15000</v>
      </c>
      <c r="L149" s="12">
        <f t="shared" si="133"/>
        <v>50000</v>
      </c>
      <c r="M149" s="12" t="e">
        <f t="shared" si="133"/>
        <v>#REF!</v>
      </c>
      <c r="N149" s="12" t="e">
        <f t="shared" si="133"/>
        <v>#REF!</v>
      </c>
      <c r="O149" s="12">
        <f t="shared" si="133"/>
        <v>0</v>
      </c>
      <c r="P149" s="12">
        <f t="shared" ref="P149:Q149" si="134">SUM(P150:P151)</f>
        <v>0</v>
      </c>
      <c r="Q149" s="12">
        <f t="shared" si="134"/>
        <v>0</v>
      </c>
      <c r="R149" s="742" t="e">
        <f>P149/O149*100</f>
        <v>#DIV/0!</v>
      </c>
    </row>
    <row r="150" spans="1:18" hidden="1" x14ac:dyDescent="0.2">
      <c r="A150" s="463"/>
      <c r="B150" s="336"/>
      <c r="C150" s="336"/>
      <c r="D150" s="336"/>
      <c r="E150" s="336"/>
      <c r="F150" s="336"/>
      <c r="G150" s="336"/>
      <c r="H150" s="606">
        <v>3631</v>
      </c>
      <c r="I150" s="15" t="s">
        <v>138</v>
      </c>
      <c r="J150" s="16">
        <v>0</v>
      </c>
      <c r="K150" s="16">
        <v>5000</v>
      </c>
      <c r="L150" s="16">
        <v>40000</v>
      </c>
      <c r="M150" s="16" t="e">
        <f>Posebni!#REF!</f>
        <v>#REF!</v>
      </c>
      <c r="N150" s="16" t="e">
        <f>Posebni!#REF!</f>
        <v>#REF!</v>
      </c>
      <c r="O150" s="16">
        <v>0</v>
      </c>
      <c r="P150" s="16">
        <v>0</v>
      </c>
      <c r="Q150" s="16">
        <v>0</v>
      </c>
      <c r="R150" s="742">
        <v>0</v>
      </c>
    </row>
    <row r="151" spans="1:18" hidden="1" x14ac:dyDescent="0.2">
      <c r="A151" s="463"/>
      <c r="B151" s="336"/>
      <c r="C151" s="336"/>
      <c r="D151" s="336"/>
      <c r="E151" s="336"/>
      <c r="F151" s="336"/>
      <c r="G151" s="336"/>
      <c r="H151" s="606">
        <v>3632</v>
      </c>
      <c r="I151" s="15" t="s">
        <v>137</v>
      </c>
      <c r="J151" s="16">
        <v>0</v>
      </c>
      <c r="K151" s="16">
        <v>10000</v>
      </c>
      <c r="L151" s="16">
        <v>10000</v>
      </c>
      <c r="M151" s="16" t="e">
        <f>Posebni!F199+Posebni!#REF!</f>
        <v>#REF!</v>
      </c>
      <c r="N151" s="16" t="e">
        <f>Posebni!G199+Posebni!#REF!</f>
        <v>#REF!</v>
      </c>
      <c r="O151" s="16">
        <v>0</v>
      </c>
      <c r="P151" s="16">
        <v>0</v>
      </c>
      <c r="Q151" s="16">
        <v>0</v>
      </c>
      <c r="R151" s="742" t="e">
        <f>P151/O151*100</f>
        <v>#DIV/0!</v>
      </c>
    </row>
    <row r="152" spans="1:18" s="65" customFormat="1" ht="22.5" x14ac:dyDescent="0.2">
      <c r="A152" s="464"/>
      <c r="B152" s="346"/>
      <c r="C152" s="346"/>
      <c r="D152" s="346"/>
      <c r="E152" s="346"/>
      <c r="F152" s="346"/>
      <c r="G152" s="346"/>
      <c r="H152" s="66">
        <v>37</v>
      </c>
      <c r="I152" s="67" t="s">
        <v>140</v>
      </c>
      <c r="J152" s="68">
        <f t="shared" ref="J152:Q152" si="135">SUM(J153)</f>
        <v>422126</v>
      </c>
      <c r="K152" s="68">
        <f t="shared" si="135"/>
        <v>340000</v>
      </c>
      <c r="L152" s="68">
        <f t="shared" si="135"/>
        <v>453000</v>
      </c>
      <c r="M152" s="68" t="e">
        <f t="shared" si="135"/>
        <v>#REF!</v>
      </c>
      <c r="N152" s="68" t="e">
        <f t="shared" si="135"/>
        <v>#REF!</v>
      </c>
      <c r="O152" s="68">
        <f t="shared" si="135"/>
        <v>367500</v>
      </c>
      <c r="P152" s="68">
        <f t="shared" si="135"/>
        <v>6900</v>
      </c>
      <c r="Q152" s="68">
        <f t="shared" si="135"/>
        <v>374400</v>
      </c>
      <c r="R152" s="748">
        <f>Q152/O152*100</f>
        <v>101.87755102040816</v>
      </c>
    </row>
    <row r="153" spans="1:18" s="1" customFormat="1" x14ac:dyDescent="0.2">
      <c r="A153" s="463"/>
      <c r="B153" s="336"/>
      <c r="C153" s="336"/>
      <c r="D153" s="336"/>
      <c r="E153" s="336"/>
      <c r="F153" s="336"/>
      <c r="G153" s="336"/>
      <c r="H153" s="23">
        <v>372</v>
      </c>
      <c r="I153" s="8" t="s">
        <v>158</v>
      </c>
      <c r="J153" s="12">
        <f t="shared" ref="J153:O153" si="136">SUM(J154:J155)</f>
        <v>422126</v>
      </c>
      <c r="K153" s="12">
        <f t="shared" si="136"/>
        <v>340000</v>
      </c>
      <c r="L153" s="12">
        <f t="shared" si="136"/>
        <v>453000</v>
      </c>
      <c r="M153" s="12" t="e">
        <f t="shared" si="136"/>
        <v>#REF!</v>
      </c>
      <c r="N153" s="12" t="e">
        <f t="shared" si="136"/>
        <v>#REF!</v>
      </c>
      <c r="O153" s="12">
        <f t="shared" si="136"/>
        <v>367500</v>
      </c>
      <c r="P153" s="12">
        <f t="shared" ref="P153:Q153" si="137">SUM(P154:P155)</f>
        <v>6900</v>
      </c>
      <c r="Q153" s="12">
        <f t="shared" si="137"/>
        <v>374400</v>
      </c>
      <c r="R153" s="749">
        <f>Q153/O153*100</f>
        <v>101.87755102040816</v>
      </c>
    </row>
    <row r="154" spans="1:18" x14ac:dyDescent="0.2">
      <c r="A154" s="463"/>
      <c r="B154" s="336"/>
      <c r="C154" s="336"/>
      <c r="D154" s="336"/>
      <c r="E154" s="336"/>
      <c r="F154" s="336"/>
      <c r="G154" s="336"/>
      <c r="H154" s="24">
        <v>3721</v>
      </c>
      <c r="I154" s="15" t="s">
        <v>78</v>
      </c>
      <c r="J154" s="16">
        <v>347075</v>
      </c>
      <c r="K154" s="16">
        <v>320000</v>
      </c>
      <c r="L154" s="16">
        <v>450000</v>
      </c>
      <c r="M154" s="16" t="e">
        <f>Posebni!F157+Posebni!F165+Posebni!F158+Posebni!F166+Posebni!F167+Posebni!#REF!</f>
        <v>#REF!</v>
      </c>
      <c r="N154" s="16" t="e">
        <f>Posebni!G157+Posebni!G165+Posebni!G158+Posebni!G166+Posebni!G167+Posebni!#REF!</f>
        <v>#REF!</v>
      </c>
      <c r="O154" s="16">
        <f>Posebni!H157+Posebni!H165+Posebni!H158+Posebni!H166+Posebni!H167</f>
        <v>108000</v>
      </c>
      <c r="P154" s="16">
        <f>Posebni!I157+Posebni!I165+Posebni!I158+Posebni!I166+Posebni!I167</f>
        <v>32950</v>
      </c>
      <c r="Q154" s="16">
        <f>SUM(O154+P154)</f>
        <v>140950</v>
      </c>
      <c r="R154" s="742">
        <f t="shared" ref="R154:R155" si="138">Q154/O154*100</f>
        <v>130.50925925925927</v>
      </c>
    </row>
    <row r="155" spans="1:18" x14ac:dyDescent="0.2">
      <c r="A155" s="463"/>
      <c r="B155" s="336"/>
      <c r="C155" s="336"/>
      <c r="D155" s="336"/>
      <c r="E155" s="336"/>
      <c r="F155" s="336"/>
      <c r="G155" s="336"/>
      <c r="H155" s="24">
        <v>3722</v>
      </c>
      <c r="I155" s="15" t="s">
        <v>79</v>
      </c>
      <c r="J155" s="16">
        <v>75051</v>
      </c>
      <c r="K155" s="16">
        <v>20000</v>
      </c>
      <c r="L155" s="16">
        <v>3000</v>
      </c>
      <c r="M155" s="16" t="e">
        <f>Posebni!F168+Posebni!#REF!+Posebni!F169+Posebni!F170+Posebni!F171+Posebni!F172+Posebni!F184</f>
        <v>#REF!</v>
      </c>
      <c r="N155" s="16" t="e">
        <f>Posebni!G168+Posebni!#REF!+Posebni!G169+Posebni!G170+Posebni!G171+Posebni!G172+Posebni!G184</f>
        <v>#REF!</v>
      </c>
      <c r="O155" s="16">
        <f>Posebni!H159+Posebni!H168+Posebni!H169+Posebni!H170+Posebni!H171+Posebni!H172+Posebni!H184</f>
        <v>259500</v>
      </c>
      <c r="P155" s="16">
        <f>Posebni!I159+Posebni!I168+Posebni!I169+Posebni!I170+Posebni!I171+Posebni!I172+Posebni!I184</f>
        <v>-26050</v>
      </c>
      <c r="Q155" s="16">
        <f>SUM(O155+P155)</f>
        <v>233450</v>
      </c>
      <c r="R155" s="742">
        <f t="shared" si="138"/>
        <v>89.961464354527948</v>
      </c>
    </row>
    <row r="156" spans="1:18" s="65" customFormat="1" x14ac:dyDescent="0.2">
      <c r="A156" s="464"/>
      <c r="B156" s="346"/>
      <c r="C156" s="346"/>
      <c r="D156" s="346"/>
      <c r="E156" s="346"/>
      <c r="F156" s="346"/>
      <c r="G156" s="346"/>
      <c r="H156" s="66">
        <v>38</v>
      </c>
      <c r="I156" s="67" t="s">
        <v>128</v>
      </c>
      <c r="J156" s="68" t="e">
        <f t="shared" ref="J156:O156" si="139">SUM(J157+J160+J162+J164+J167+J169)</f>
        <v>#REF!</v>
      </c>
      <c r="K156" s="68" t="e">
        <f t="shared" si="139"/>
        <v>#REF!</v>
      </c>
      <c r="L156" s="68" t="e">
        <f t="shared" si="139"/>
        <v>#REF!</v>
      </c>
      <c r="M156" s="68">
        <f t="shared" si="139"/>
        <v>1138000</v>
      </c>
      <c r="N156" s="68">
        <f t="shared" si="139"/>
        <v>151038.55597584444</v>
      </c>
      <c r="O156" s="68">
        <f t="shared" si="139"/>
        <v>242200</v>
      </c>
      <c r="P156" s="68">
        <f t="shared" ref="P156:Q156" si="140">SUM(P157+P160+P162+P164+P167+P169)</f>
        <v>-30100</v>
      </c>
      <c r="Q156" s="68">
        <f t="shared" si="140"/>
        <v>212100</v>
      </c>
      <c r="R156" s="748">
        <f>Q156/O156*100</f>
        <v>87.572254335260112</v>
      </c>
    </row>
    <row r="157" spans="1:18" s="1" customFormat="1" x14ac:dyDescent="0.2">
      <c r="A157" s="463"/>
      <c r="B157" s="336"/>
      <c r="C157" s="336"/>
      <c r="D157" s="336"/>
      <c r="E157" s="336"/>
      <c r="F157" s="336"/>
      <c r="G157" s="336"/>
      <c r="H157" s="23">
        <v>381</v>
      </c>
      <c r="I157" s="8" t="s">
        <v>37</v>
      </c>
      <c r="J157" s="12" t="e">
        <f t="shared" ref="J157:O157" si="141">SUM(J158+J159)</f>
        <v>#REF!</v>
      </c>
      <c r="K157" s="12" t="e">
        <f t="shared" si="141"/>
        <v>#REF!</v>
      </c>
      <c r="L157" s="12" t="e">
        <f t="shared" si="141"/>
        <v>#REF!</v>
      </c>
      <c r="M157" s="12">
        <f t="shared" si="141"/>
        <v>893000</v>
      </c>
      <c r="N157" s="12">
        <f t="shared" si="141"/>
        <v>118521.46791426107</v>
      </c>
      <c r="O157" s="12">
        <f t="shared" si="141"/>
        <v>164200</v>
      </c>
      <c r="P157" s="12">
        <f t="shared" ref="P157:Q157" si="142">SUM(P158+P159)</f>
        <v>-6450</v>
      </c>
      <c r="Q157" s="12">
        <f t="shared" si="142"/>
        <v>157750</v>
      </c>
      <c r="R157" s="749">
        <f>Q157/O157*100</f>
        <v>96.07186358099878</v>
      </c>
    </row>
    <row r="158" spans="1:18" s="40" customFormat="1" x14ac:dyDescent="0.2">
      <c r="A158" s="463"/>
      <c r="B158" s="336"/>
      <c r="C158" s="336"/>
      <c r="D158" s="336"/>
      <c r="E158" s="336"/>
      <c r="F158" s="336"/>
      <c r="G158" s="336"/>
      <c r="H158" s="26">
        <v>3811</v>
      </c>
      <c r="I158" s="10" t="s">
        <v>81</v>
      </c>
      <c r="J158" s="11" t="e">
        <f>SUM(#REF!)</f>
        <v>#REF!</v>
      </c>
      <c r="K158" s="11" t="e">
        <f>SUM(#REF!)</f>
        <v>#REF!</v>
      </c>
      <c r="L158" s="11" t="e">
        <f>SUM(#REF!)</f>
        <v>#REF!</v>
      </c>
      <c r="M158" s="11">
        <f>Posebni!F107+Posebni!F134+Posebni!F142+Posebni!F178+Posebni!F212+Posebni!F224+Posebni!F245+Posebni!F252+Posebni!F269+Posebni!F278+Posebni!F284</f>
        <v>868000</v>
      </c>
      <c r="N158" s="11">
        <f>Posebni!G107+Posebni!G134+Posebni!G142+Posebni!G178+Posebni!G212+Posebni!G224+Posebni!G245+Posebni!G252+Posebni!G269+Posebni!G278+Posebni!G284</f>
        <v>115203.39770389542</v>
      </c>
      <c r="O158" s="16">
        <f>Posebni!H105+Posebni!H134+Posebni!H142+Posebni!H149+Posebni!H178+Posebni!H211+Posebni!H224+Posebni!H245+Posebni!H252+Posebni!H269+Posebni!H278+Posebni!H284+Posebni!H199</f>
        <v>160700</v>
      </c>
      <c r="P158" s="16">
        <f>Posebni!I105+Posebni!I134+Posebni!I142+Posebni!I149+Posebni!I178+Posebni!I211+Posebni!I224+Posebni!I245+Posebni!I252+Posebni!I269+Posebni!I278+Posebni!I284+Posebni!I199</f>
        <v>-2950</v>
      </c>
      <c r="Q158" s="16">
        <f>SUM(O158+P158)</f>
        <v>157750</v>
      </c>
      <c r="R158" s="742">
        <f t="shared" ref="R158:R170" si="143">Q158/O158*100</f>
        <v>98.164281269446178</v>
      </c>
    </row>
    <row r="159" spans="1:18" s="40" customFormat="1" x14ac:dyDescent="0.2">
      <c r="A159" s="463"/>
      <c r="B159" s="336"/>
      <c r="C159" s="336"/>
      <c r="D159" s="336"/>
      <c r="E159" s="336"/>
      <c r="F159" s="336"/>
      <c r="G159" s="336"/>
      <c r="H159" s="26">
        <v>3812</v>
      </c>
      <c r="I159" s="10" t="s">
        <v>86</v>
      </c>
      <c r="J159" s="11">
        <v>4698</v>
      </c>
      <c r="K159" s="11">
        <v>5000</v>
      </c>
      <c r="L159" s="11">
        <v>5000</v>
      </c>
      <c r="M159" s="11">
        <f>Posebni!F135</f>
        <v>25000</v>
      </c>
      <c r="N159" s="11">
        <f>Posebni!G135</f>
        <v>3318.0702103656513</v>
      </c>
      <c r="O159" s="16">
        <f>Posebni!H135</f>
        <v>3500</v>
      </c>
      <c r="P159" s="16">
        <f>Posebni!I135</f>
        <v>-3500</v>
      </c>
      <c r="Q159" s="16">
        <f>SUM(O159+P159)</f>
        <v>0</v>
      </c>
      <c r="R159" s="742">
        <f t="shared" si="143"/>
        <v>0</v>
      </c>
    </row>
    <row r="160" spans="1:18" s="1" customFormat="1" x14ac:dyDescent="0.2">
      <c r="A160" s="463"/>
      <c r="B160" s="336"/>
      <c r="C160" s="336"/>
      <c r="D160" s="336"/>
      <c r="E160" s="336"/>
      <c r="F160" s="336"/>
      <c r="G160" s="336"/>
      <c r="H160" s="23">
        <v>382</v>
      </c>
      <c r="I160" s="8" t="s">
        <v>38</v>
      </c>
      <c r="J160" s="12">
        <f t="shared" ref="J160:Q160" si="144">SUM(J161:J161)</f>
        <v>65000</v>
      </c>
      <c r="K160" s="12">
        <f t="shared" si="144"/>
        <v>100000</v>
      </c>
      <c r="L160" s="12">
        <f t="shared" si="144"/>
        <v>116000</v>
      </c>
      <c r="M160" s="12">
        <f t="shared" si="144"/>
        <v>25000</v>
      </c>
      <c r="N160" s="12">
        <f t="shared" si="144"/>
        <v>3318.0702103656513</v>
      </c>
      <c r="O160" s="12">
        <f t="shared" si="144"/>
        <v>45000</v>
      </c>
      <c r="P160" s="12">
        <f t="shared" si="144"/>
        <v>6000</v>
      </c>
      <c r="Q160" s="12">
        <f t="shared" si="144"/>
        <v>51000</v>
      </c>
      <c r="R160" s="749">
        <f t="shared" si="143"/>
        <v>113.33333333333333</v>
      </c>
    </row>
    <row r="161" spans="1:18" x14ac:dyDescent="0.2">
      <c r="A161" s="463"/>
      <c r="B161" s="336"/>
      <c r="C161" s="336"/>
      <c r="D161" s="336"/>
      <c r="E161" s="336"/>
      <c r="F161" s="336"/>
      <c r="G161" s="336"/>
      <c r="H161" s="24">
        <v>3821</v>
      </c>
      <c r="I161" s="15" t="s">
        <v>87</v>
      </c>
      <c r="J161" s="16">
        <v>65000</v>
      </c>
      <c r="K161" s="16">
        <v>100000</v>
      </c>
      <c r="L161" s="16">
        <v>116000</v>
      </c>
      <c r="M161" s="16">
        <f>Posebni!F271</f>
        <v>25000</v>
      </c>
      <c r="N161" s="16">
        <f>Posebni!G271</f>
        <v>3318.0702103656513</v>
      </c>
      <c r="O161" s="16">
        <f>Posebni!H271</f>
        <v>45000</v>
      </c>
      <c r="P161" s="16">
        <f>Posebni!I271</f>
        <v>6000</v>
      </c>
      <c r="Q161" s="16">
        <f>SUM(O161+P161)</f>
        <v>51000</v>
      </c>
      <c r="R161" s="742">
        <f t="shared" si="143"/>
        <v>113.33333333333333</v>
      </c>
    </row>
    <row r="162" spans="1:18" s="1" customFormat="1" x14ac:dyDescent="0.2">
      <c r="A162" s="463"/>
      <c r="B162" s="336"/>
      <c r="C162" s="336"/>
      <c r="D162" s="336"/>
      <c r="E162" s="336" t="s">
        <v>367</v>
      </c>
      <c r="F162" s="336"/>
      <c r="G162" s="336"/>
      <c r="H162" s="23">
        <v>383</v>
      </c>
      <c r="I162" s="8" t="s">
        <v>89</v>
      </c>
      <c r="J162" s="12">
        <f t="shared" ref="J162:Q162" si="145">SUM(J163)</f>
        <v>0</v>
      </c>
      <c r="K162" s="12">
        <f t="shared" si="145"/>
        <v>10000</v>
      </c>
      <c r="L162" s="12">
        <f t="shared" si="145"/>
        <v>121000</v>
      </c>
      <c r="M162" s="12">
        <f t="shared" si="145"/>
        <v>20000</v>
      </c>
      <c r="N162" s="12">
        <f t="shared" si="145"/>
        <v>2654.4561682925209</v>
      </c>
      <c r="O162" s="12">
        <f t="shared" si="145"/>
        <v>3000</v>
      </c>
      <c r="P162" s="12">
        <f t="shared" si="145"/>
        <v>-2450</v>
      </c>
      <c r="Q162" s="12">
        <f t="shared" si="145"/>
        <v>550</v>
      </c>
      <c r="R162" s="749">
        <f t="shared" si="143"/>
        <v>18.333333333333332</v>
      </c>
    </row>
    <row r="163" spans="1:18" x14ac:dyDescent="0.2">
      <c r="A163" s="463"/>
      <c r="B163" s="336"/>
      <c r="C163" s="336"/>
      <c r="D163" s="336"/>
      <c r="E163" s="336"/>
      <c r="F163" s="336"/>
      <c r="G163" s="336"/>
      <c r="H163" s="24">
        <v>3831</v>
      </c>
      <c r="I163" s="15" t="s">
        <v>90</v>
      </c>
      <c r="J163" s="16">
        <v>0</v>
      </c>
      <c r="K163" s="16">
        <v>10000</v>
      </c>
      <c r="L163" s="16">
        <v>121000</v>
      </c>
      <c r="M163" s="16">
        <f>Posebni!F84</f>
        <v>20000</v>
      </c>
      <c r="N163" s="16">
        <f>Posebni!G84</f>
        <v>2654.4561682925209</v>
      </c>
      <c r="O163" s="16">
        <f>Posebni!H84</f>
        <v>3000</v>
      </c>
      <c r="P163" s="16">
        <f>Posebni!I84</f>
        <v>-2450</v>
      </c>
      <c r="Q163" s="16">
        <f>SUM(O163+P163)</f>
        <v>550</v>
      </c>
      <c r="R163" s="742">
        <f t="shared" si="143"/>
        <v>18.333333333333332</v>
      </c>
    </row>
    <row r="164" spans="1:18" s="1" customFormat="1" x14ac:dyDescent="0.2">
      <c r="A164" s="465"/>
      <c r="B164" s="340"/>
      <c r="C164" s="340"/>
      <c r="D164" s="340"/>
      <c r="E164" s="340"/>
      <c r="F164" s="340"/>
      <c r="G164" s="340"/>
      <c r="H164" s="323">
        <v>384</v>
      </c>
      <c r="I164" s="324" t="s">
        <v>91</v>
      </c>
      <c r="J164" s="325">
        <f t="shared" ref="J164:O164" si="146">SUM(J165:J166)</f>
        <v>0</v>
      </c>
      <c r="K164" s="325">
        <f t="shared" si="146"/>
        <v>0</v>
      </c>
      <c r="L164" s="325">
        <f t="shared" si="146"/>
        <v>0</v>
      </c>
      <c r="M164" s="325">
        <f t="shared" si="146"/>
        <v>0</v>
      </c>
      <c r="N164" s="325">
        <f t="shared" si="146"/>
        <v>0</v>
      </c>
      <c r="O164" s="325">
        <f t="shared" si="146"/>
        <v>0</v>
      </c>
      <c r="P164" s="325">
        <f t="shared" ref="P164:Q164" si="147">SUM(P165:P166)</f>
        <v>0</v>
      </c>
      <c r="Q164" s="325">
        <f t="shared" si="147"/>
        <v>0</v>
      </c>
      <c r="R164" s="749" t="e">
        <f t="shared" si="143"/>
        <v>#DIV/0!</v>
      </c>
    </row>
    <row r="165" spans="1:18" x14ac:dyDescent="0.2">
      <c r="A165" s="463"/>
      <c r="B165" s="336"/>
      <c r="C165" s="336"/>
      <c r="D165" s="336"/>
      <c r="E165" s="336"/>
      <c r="F165" s="336"/>
      <c r="G165" s="336"/>
      <c r="H165" s="24">
        <v>3841</v>
      </c>
      <c r="I165" s="15" t="s">
        <v>92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f>SUM(O165+P165)</f>
        <v>0</v>
      </c>
      <c r="R165" s="742" t="e">
        <f t="shared" si="143"/>
        <v>#DIV/0!</v>
      </c>
    </row>
    <row r="166" spans="1:18" x14ac:dyDescent="0.2">
      <c r="A166" s="463"/>
      <c r="B166" s="336"/>
      <c r="C166" s="336"/>
      <c r="D166" s="336"/>
      <c r="E166" s="336"/>
      <c r="F166" s="336"/>
      <c r="G166" s="336"/>
      <c r="H166" s="24">
        <v>3842</v>
      </c>
      <c r="I166" s="15" t="s">
        <v>93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f>SUM(O166+P166)</f>
        <v>0</v>
      </c>
      <c r="R166" s="742" t="e">
        <f t="shared" si="143"/>
        <v>#DIV/0!</v>
      </c>
    </row>
    <row r="167" spans="1:18" s="1" customFormat="1" x14ac:dyDescent="0.2">
      <c r="A167" s="463"/>
      <c r="B167" s="336"/>
      <c r="C167" s="336"/>
      <c r="D167" s="336"/>
      <c r="E167" s="336"/>
      <c r="F167" s="336"/>
      <c r="G167" s="336"/>
      <c r="H167" s="23">
        <v>385</v>
      </c>
      <c r="I167" s="8" t="s">
        <v>94</v>
      </c>
      <c r="J167" s="12">
        <f t="shared" ref="J167:Q167" si="148">SUM(J168)</f>
        <v>0</v>
      </c>
      <c r="K167" s="12">
        <f t="shared" si="148"/>
        <v>10000</v>
      </c>
      <c r="L167" s="12">
        <f t="shared" si="148"/>
        <v>10000</v>
      </c>
      <c r="M167" s="12">
        <f t="shared" si="148"/>
        <v>0</v>
      </c>
      <c r="N167" s="12">
        <f t="shared" si="148"/>
        <v>0</v>
      </c>
      <c r="O167" s="12">
        <f t="shared" si="148"/>
        <v>0</v>
      </c>
      <c r="P167" s="12">
        <f t="shared" si="148"/>
        <v>0</v>
      </c>
      <c r="Q167" s="12">
        <f t="shared" si="148"/>
        <v>0</v>
      </c>
      <c r="R167" s="749" t="e">
        <f t="shared" si="143"/>
        <v>#DIV/0!</v>
      </c>
    </row>
    <row r="168" spans="1:18" x14ac:dyDescent="0.2">
      <c r="A168" s="463"/>
      <c r="B168" s="336"/>
      <c r="C168" s="336"/>
      <c r="D168" s="336"/>
      <c r="E168" s="336"/>
      <c r="F168" s="336"/>
      <c r="G168" s="336"/>
      <c r="H168" s="24">
        <v>3851</v>
      </c>
      <c r="I168" s="15" t="s">
        <v>159</v>
      </c>
      <c r="J168" s="16">
        <v>0</v>
      </c>
      <c r="K168" s="16">
        <v>10000</v>
      </c>
      <c r="L168" s="16">
        <v>10000</v>
      </c>
      <c r="M168" s="16">
        <v>0</v>
      </c>
      <c r="N168" s="16">
        <v>0</v>
      </c>
      <c r="O168" s="16">
        <v>0</v>
      </c>
      <c r="P168" s="16">
        <v>0</v>
      </c>
      <c r="Q168" s="16">
        <f>SUM(O168+P168)</f>
        <v>0</v>
      </c>
      <c r="R168" s="742" t="e">
        <f t="shared" si="143"/>
        <v>#DIV/0!</v>
      </c>
    </row>
    <row r="169" spans="1:18" x14ac:dyDescent="0.2">
      <c r="A169" s="463"/>
      <c r="B169" s="336"/>
      <c r="C169" s="336"/>
      <c r="D169" s="336" t="s">
        <v>366</v>
      </c>
      <c r="E169" s="336"/>
      <c r="F169" s="336"/>
      <c r="G169" s="336"/>
      <c r="H169" s="27">
        <v>386</v>
      </c>
      <c r="I169" s="9" t="s">
        <v>127</v>
      </c>
      <c r="J169" s="12">
        <f t="shared" ref="J169:Q169" si="149">SUM(J170)</f>
        <v>0</v>
      </c>
      <c r="K169" s="12">
        <f t="shared" si="149"/>
        <v>10000</v>
      </c>
      <c r="L169" s="12">
        <f t="shared" si="149"/>
        <v>50000</v>
      </c>
      <c r="M169" s="12">
        <f t="shared" si="149"/>
        <v>200000</v>
      </c>
      <c r="N169" s="12">
        <f t="shared" si="149"/>
        <v>26544.56168292521</v>
      </c>
      <c r="O169" s="12">
        <f t="shared" si="149"/>
        <v>30000</v>
      </c>
      <c r="P169" s="12">
        <f t="shared" si="149"/>
        <v>-27200</v>
      </c>
      <c r="Q169" s="12">
        <f t="shared" si="149"/>
        <v>2800</v>
      </c>
      <c r="R169" s="749">
        <f t="shared" si="143"/>
        <v>9.3333333333333339</v>
      </c>
    </row>
    <row r="170" spans="1:18" ht="22.5" x14ac:dyDescent="0.2">
      <c r="A170" s="463"/>
      <c r="B170" s="336"/>
      <c r="C170" s="336"/>
      <c r="D170" s="336"/>
      <c r="E170" s="336"/>
      <c r="F170" s="336"/>
      <c r="G170" s="336"/>
      <c r="H170" s="24">
        <v>3861</v>
      </c>
      <c r="I170" s="15" t="s">
        <v>484</v>
      </c>
      <c r="J170" s="16">
        <v>0</v>
      </c>
      <c r="K170" s="16">
        <v>10000</v>
      </c>
      <c r="L170" s="16">
        <v>50000</v>
      </c>
      <c r="M170" s="16">
        <f>Posebni!F416+Posebni!F417</f>
        <v>200000</v>
      </c>
      <c r="N170" s="16">
        <f>Posebni!G416+Posebni!G417</f>
        <v>26544.56168292521</v>
      </c>
      <c r="O170" s="16">
        <f>Posebni!H416+Posebni!H417</f>
        <v>30000</v>
      </c>
      <c r="P170" s="16">
        <f>Posebni!I416+Posebni!I417</f>
        <v>-27200</v>
      </c>
      <c r="Q170" s="16">
        <f>SUM(O170+P170)</f>
        <v>2800</v>
      </c>
      <c r="R170" s="742">
        <f t="shared" si="143"/>
        <v>9.3333333333333339</v>
      </c>
    </row>
    <row r="171" spans="1:18" s="48" customFormat="1" ht="13.5" thickBot="1" x14ac:dyDescent="0.25">
      <c r="A171" s="467"/>
      <c r="B171" s="347"/>
      <c r="C171" s="347"/>
      <c r="D171" s="347"/>
      <c r="E171" s="347"/>
      <c r="F171" s="347"/>
      <c r="G171" s="347"/>
      <c r="H171" s="49">
        <v>4</v>
      </c>
      <c r="I171" s="50" t="s">
        <v>4</v>
      </c>
      <c r="J171" s="51" t="e">
        <f t="shared" ref="J171:L171" si="150">SUM(J172+J175+J190)</f>
        <v>#REF!</v>
      </c>
      <c r="K171" s="51" t="e">
        <f t="shared" si="150"/>
        <v>#REF!</v>
      </c>
      <c r="L171" s="51" t="e">
        <f t="shared" si="150"/>
        <v>#REF!</v>
      </c>
      <c r="M171" s="51" t="e">
        <f t="shared" ref="M171:Q171" si="151">SUM(M172+M175+M190)</f>
        <v>#REF!</v>
      </c>
      <c r="N171" s="51" t="e">
        <f t="shared" si="151"/>
        <v>#REF!</v>
      </c>
      <c r="O171" s="51">
        <f t="shared" si="151"/>
        <v>1978360</v>
      </c>
      <c r="P171" s="51">
        <f t="shared" si="151"/>
        <v>-64150</v>
      </c>
      <c r="Q171" s="51">
        <f t="shared" si="151"/>
        <v>1914210</v>
      </c>
      <c r="R171" s="750">
        <f t="shared" ref="R171:R176" si="152">Q171/O171*100</f>
        <v>96.757415232819099</v>
      </c>
    </row>
    <row r="172" spans="1:18" s="65" customFormat="1" x14ac:dyDescent="0.2">
      <c r="A172" s="462"/>
      <c r="B172" s="345"/>
      <c r="C172" s="345"/>
      <c r="D172" s="345"/>
      <c r="E172" s="345"/>
      <c r="F172" s="345"/>
      <c r="G172" s="345"/>
      <c r="H172" s="62">
        <v>41</v>
      </c>
      <c r="I172" s="69" t="s">
        <v>160</v>
      </c>
      <c r="J172" s="64">
        <f t="shared" ref="J172:Q173" si="153">SUM(J173)</f>
        <v>0</v>
      </c>
      <c r="K172" s="64">
        <f t="shared" si="153"/>
        <v>70000</v>
      </c>
      <c r="L172" s="64">
        <f t="shared" si="153"/>
        <v>0</v>
      </c>
      <c r="M172" s="64">
        <f t="shared" si="153"/>
        <v>100000</v>
      </c>
      <c r="N172" s="64">
        <f t="shared" si="153"/>
        <v>13272.280841462605</v>
      </c>
      <c r="O172" s="64">
        <f t="shared" si="153"/>
        <v>118500</v>
      </c>
      <c r="P172" s="64">
        <f t="shared" si="153"/>
        <v>31000</v>
      </c>
      <c r="Q172" s="64">
        <f t="shared" si="153"/>
        <v>149500</v>
      </c>
      <c r="R172" s="748">
        <f t="shared" si="152"/>
        <v>126.1603375527426</v>
      </c>
    </row>
    <row r="173" spans="1:18" s="1" customFormat="1" x14ac:dyDescent="0.2">
      <c r="A173" s="463"/>
      <c r="B173" s="336"/>
      <c r="C173" s="336"/>
      <c r="D173" s="336"/>
      <c r="E173" s="336"/>
      <c r="F173" s="336" t="s">
        <v>368</v>
      </c>
      <c r="G173" s="336"/>
      <c r="H173" s="23">
        <v>411</v>
      </c>
      <c r="I173" s="8" t="s">
        <v>95</v>
      </c>
      <c r="J173" s="12">
        <f t="shared" si="153"/>
        <v>0</v>
      </c>
      <c r="K173" s="12">
        <f t="shared" si="153"/>
        <v>70000</v>
      </c>
      <c r="L173" s="12">
        <f t="shared" si="153"/>
        <v>0</v>
      </c>
      <c r="M173" s="12">
        <f t="shared" si="153"/>
        <v>100000</v>
      </c>
      <c r="N173" s="12">
        <f t="shared" si="153"/>
        <v>13272.280841462605</v>
      </c>
      <c r="O173" s="12">
        <f t="shared" si="153"/>
        <v>118500</v>
      </c>
      <c r="P173" s="12">
        <f t="shared" si="153"/>
        <v>31000</v>
      </c>
      <c r="Q173" s="12">
        <f t="shared" si="153"/>
        <v>149500</v>
      </c>
      <c r="R173" s="742">
        <f t="shared" si="152"/>
        <v>126.1603375527426</v>
      </c>
    </row>
    <row r="174" spans="1:18" x14ac:dyDescent="0.2">
      <c r="A174" s="463"/>
      <c r="B174" s="336"/>
      <c r="C174" s="336"/>
      <c r="D174" s="336"/>
      <c r="E174" s="336"/>
      <c r="F174" s="336"/>
      <c r="G174" s="336"/>
      <c r="H174" s="24">
        <v>4111</v>
      </c>
      <c r="I174" s="15" t="s">
        <v>40</v>
      </c>
      <c r="J174" s="16">
        <v>0</v>
      </c>
      <c r="K174" s="16">
        <v>70000</v>
      </c>
      <c r="L174" s="16">
        <v>0</v>
      </c>
      <c r="M174" s="16">
        <f>Posebni!F392</f>
        <v>100000</v>
      </c>
      <c r="N174" s="16">
        <f>Posebni!G392</f>
        <v>13272.280841462605</v>
      </c>
      <c r="O174" s="16">
        <f>Posebni!H392+Posebni!H446</f>
        <v>118500</v>
      </c>
      <c r="P174" s="16">
        <f>Posebni!I392+Posebni!I446</f>
        <v>31000</v>
      </c>
      <c r="Q174" s="16">
        <f>SUM(O174+P174)</f>
        <v>149500</v>
      </c>
      <c r="R174" s="742">
        <f t="shared" si="152"/>
        <v>126.1603375527426</v>
      </c>
    </row>
    <row r="175" spans="1:18" s="65" customFormat="1" x14ac:dyDescent="0.2">
      <c r="A175" s="464"/>
      <c r="B175" s="346"/>
      <c r="C175" s="346"/>
      <c r="D175" s="346"/>
      <c r="E175" s="346"/>
      <c r="F175" s="346"/>
      <c r="G175" s="346"/>
      <c r="H175" s="66">
        <v>42</v>
      </c>
      <c r="I175" s="70" t="s">
        <v>161</v>
      </c>
      <c r="J175" s="68" t="e">
        <f>SUM(J176+J180+#REF!+#REF!+J186)</f>
        <v>#REF!</v>
      </c>
      <c r="K175" s="68" t="e">
        <f>SUM(K176+K180+#REF!+K186)</f>
        <v>#REF!</v>
      </c>
      <c r="L175" s="68" t="e">
        <f>SUM(L176+L180+#REF!+L186)</f>
        <v>#REF!</v>
      </c>
      <c r="M175" s="68" t="e">
        <f t="shared" ref="M175:Q175" si="154">SUM(M176+M180+M186)</f>
        <v>#REF!</v>
      </c>
      <c r="N175" s="68" t="e">
        <f t="shared" si="154"/>
        <v>#REF!</v>
      </c>
      <c r="O175" s="68">
        <f t="shared" si="154"/>
        <v>1774360</v>
      </c>
      <c r="P175" s="68">
        <f t="shared" si="154"/>
        <v>-76150</v>
      </c>
      <c r="Q175" s="68">
        <f t="shared" si="154"/>
        <v>1698210</v>
      </c>
      <c r="R175" s="748">
        <f t="shared" si="152"/>
        <v>95.708311729299581</v>
      </c>
    </row>
    <row r="176" spans="1:18" s="1" customFormat="1" x14ac:dyDescent="0.2">
      <c r="A176" s="463"/>
      <c r="B176" s="336"/>
      <c r="C176" s="336" t="s">
        <v>365</v>
      </c>
      <c r="D176" s="336" t="s">
        <v>366</v>
      </c>
      <c r="E176" s="336"/>
      <c r="F176" s="336"/>
      <c r="G176" s="336"/>
      <c r="H176" s="23">
        <v>421</v>
      </c>
      <c r="I176" s="8" t="s">
        <v>97</v>
      </c>
      <c r="J176" s="12">
        <f t="shared" ref="J176:O176" si="155">SUM(J177:J179)</f>
        <v>3570032</v>
      </c>
      <c r="K176" s="12">
        <f t="shared" si="155"/>
        <v>1450000</v>
      </c>
      <c r="L176" s="12">
        <f t="shared" si="155"/>
        <v>190000</v>
      </c>
      <c r="M176" s="12" t="e">
        <f t="shared" si="155"/>
        <v>#REF!</v>
      </c>
      <c r="N176" s="12" t="e">
        <f t="shared" si="155"/>
        <v>#REF!</v>
      </c>
      <c r="O176" s="12">
        <f t="shared" si="155"/>
        <v>1660360</v>
      </c>
      <c r="P176" s="12">
        <f t="shared" ref="P176:Q176" si="156">SUM(P177:P179)</f>
        <v>-37900</v>
      </c>
      <c r="Q176" s="12">
        <f t="shared" si="156"/>
        <v>1622460</v>
      </c>
      <c r="R176" s="749">
        <f t="shared" si="152"/>
        <v>97.717362499698851</v>
      </c>
    </row>
    <row r="177" spans="1:18" x14ac:dyDescent="0.2">
      <c r="A177" s="463"/>
      <c r="B177" s="336"/>
      <c r="C177" s="336"/>
      <c r="D177" s="336"/>
      <c r="E177" s="336"/>
      <c r="F177" s="336"/>
      <c r="G177" s="336"/>
      <c r="H177" s="24">
        <v>4212</v>
      </c>
      <c r="I177" s="15" t="s">
        <v>98</v>
      </c>
      <c r="J177" s="16">
        <v>700190</v>
      </c>
      <c r="K177" s="16">
        <v>350000</v>
      </c>
      <c r="L177" s="16">
        <v>70000</v>
      </c>
      <c r="M177" s="16" t="e">
        <f>Posebni!#REF!</f>
        <v>#REF!</v>
      </c>
      <c r="N177" s="16" t="e">
        <f>Posebni!#REF!</f>
        <v>#REF!</v>
      </c>
      <c r="O177" s="16">
        <v>0</v>
      </c>
      <c r="P177" s="16">
        <v>0</v>
      </c>
      <c r="Q177" s="16">
        <f>SUM(O177+P177)</f>
        <v>0</v>
      </c>
      <c r="R177" s="742" t="e">
        <f t="shared" ref="R177:R189" si="157">Q177/O177*100</f>
        <v>#DIV/0!</v>
      </c>
    </row>
    <row r="178" spans="1:18" x14ac:dyDescent="0.2">
      <c r="A178" s="463"/>
      <c r="B178" s="336"/>
      <c r="C178" s="336"/>
      <c r="D178" s="336"/>
      <c r="E178" s="336"/>
      <c r="F178" s="336"/>
      <c r="G178" s="336"/>
      <c r="H178" s="24">
        <v>4213</v>
      </c>
      <c r="I178" s="15" t="s">
        <v>141</v>
      </c>
      <c r="J178" s="16">
        <v>2869842</v>
      </c>
      <c r="K178" s="16">
        <v>100000</v>
      </c>
      <c r="L178" s="16">
        <v>100000</v>
      </c>
      <c r="M178" s="16" t="e">
        <f>Posebni!F404+Posebni!F407+Posebni!#REF!+Posebni!#REF!+Posebni!F409</f>
        <v>#REF!</v>
      </c>
      <c r="N178" s="16" t="e">
        <f>Posebni!G404+Posebni!G407+Posebni!#REF!+Posebni!#REF!+Posebni!G409</f>
        <v>#REF!</v>
      </c>
      <c r="O178" s="16">
        <f>Posebni!H404+Posebni!H405+Posebni!H406+Posebni!H407+Posebni!H408+Posebni!H409+Posebni!H410</f>
        <v>145500</v>
      </c>
      <c r="P178" s="16">
        <f>Posebni!I404+Posebni!I405+Posebni!I406+Posebni!I407+Posebni!I408+Posebni!I409+Posebni!I410</f>
        <v>-850</v>
      </c>
      <c r="Q178" s="16">
        <f>Posebni!J404+Posebni!J405+Posebni!J406+Posebni!J407+Posebni!J408+Posebni!J409+Posebni!J410</f>
        <v>144650</v>
      </c>
      <c r="R178" s="742">
        <f t="shared" si="157"/>
        <v>99.415807560137466</v>
      </c>
    </row>
    <row r="179" spans="1:18" x14ac:dyDescent="0.2">
      <c r="A179" s="463"/>
      <c r="B179" s="336"/>
      <c r="C179" s="336"/>
      <c r="D179" s="336"/>
      <c r="E179" s="336"/>
      <c r="F179" s="336"/>
      <c r="G179" s="336"/>
      <c r="H179" s="24">
        <v>4214</v>
      </c>
      <c r="I179" s="15" t="s">
        <v>119</v>
      </c>
      <c r="J179" s="16">
        <v>0</v>
      </c>
      <c r="K179" s="16">
        <v>1000000</v>
      </c>
      <c r="L179" s="16">
        <v>20000</v>
      </c>
      <c r="M179" s="16" t="e">
        <f>Posebni!F316+Posebni!F398+Posebni!F423+Posebni!F460+Posebni!F466+Posebni!F478+Posebni!#REF!+Posebni!F479+Posebni!F497+Posebni!#REF!+Posebni!#REF!+Posebni!#REF!+Posebni!F517+Posebni!F541</f>
        <v>#REF!</v>
      </c>
      <c r="N179" s="16" t="e">
        <f>Posebni!G316+Posebni!G398+Posebni!G423+Posebni!G460+Posebni!G466+Posebni!G478+Posebni!#REF!+Posebni!G479+Posebni!G497+Posebni!#REF!+Posebni!#REF!+Posebni!#REF!+Posebni!G517+Posebni!G541</f>
        <v>#REF!</v>
      </c>
      <c r="O179" s="16">
        <f>Posebni!H398+Posebni!H423+Posebni!H425+Posebni!H439+Posebni!H460+Posebni!H466+Posebni!H472+Posebni!H478+Posebni!H479+Posebni!H497+Posebni!H503+Posebni!H509+Posebni!H517+Posebni!H519+Posebni!H520+Posebni!H541+Posebni!H543+Posebni!H549+Posebni!H550+Posebni!H564</f>
        <v>1514860</v>
      </c>
      <c r="P179" s="16">
        <f>Posebni!I398+Posebni!I423+Posebni!I425+Posebni!I439+Posebni!I460+Posebni!I466+Posebni!I472+Posebni!I478+Posebni!I479+Posebni!I497+Posebni!I503+Posebni!I509+Posebni!I517+Posebni!I519+Posebni!I520+Posebni!I541+Posebni!I543+Posebni!I549+Posebni!I550+Posebni!I564</f>
        <v>-37050</v>
      </c>
      <c r="Q179" s="16">
        <f>Posebni!J398+Posebni!J423+Posebni!J425+Posebni!J439+Posebni!J460+Posebni!J466+Posebni!J472+Posebni!J478+Posebni!J479+Posebni!J497+Posebni!J503+Posebni!J509+Posebni!J517+Posebni!J519+Posebni!J520+Posebni!J541+Posebni!J543+Posebni!J549+Posebni!J550+Posebni!J564</f>
        <v>1477810</v>
      </c>
      <c r="R179" s="742">
        <f t="shared" si="157"/>
        <v>97.55422943374306</v>
      </c>
    </row>
    <row r="180" spans="1:18" s="1" customFormat="1" x14ac:dyDescent="0.2">
      <c r="A180" s="463"/>
      <c r="B180" s="336"/>
      <c r="C180" s="336"/>
      <c r="D180" s="336"/>
      <c r="E180" s="336"/>
      <c r="F180" s="336"/>
      <c r="G180" s="336"/>
      <c r="H180" s="23">
        <v>422</v>
      </c>
      <c r="I180" s="8" t="s">
        <v>99</v>
      </c>
      <c r="J180" s="12">
        <f t="shared" ref="J180:O180" si="158">SUM(J181:J185)</f>
        <v>15009</v>
      </c>
      <c r="K180" s="12">
        <f t="shared" si="158"/>
        <v>62000</v>
      </c>
      <c r="L180" s="12">
        <f t="shared" si="158"/>
        <v>62000</v>
      </c>
      <c r="M180" s="12" t="e">
        <f t="shared" si="158"/>
        <v>#REF!</v>
      </c>
      <c r="N180" s="12" t="e">
        <f t="shared" si="158"/>
        <v>#REF!</v>
      </c>
      <c r="O180" s="12">
        <f t="shared" si="158"/>
        <v>61500</v>
      </c>
      <c r="P180" s="12">
        <f t="shared" ref="P180:Q180" si="159">SUM(P181:P185)</f>
        <v>-27100</v>
      </c>
      <c r="Q180" s="12">
        <f t="shared" si="159"/>
        <v>34400</v>
      </c>
      <c r="R180" s="749">
        <f t="shared" si="157"/>
        <v>55.934959349593491</v>
      </c>
    </row>
    <row r="181" spans="1:18" x14ac:dyDescent="0.2">
      <c r="A181" s="463"/>
      <c r="B181" s="336"/>
      <c r="C181" s="336"/>
      <c r="D181" s="336"/>
      <c r="E181" s="336"/>
      <c r="F181" s="336"/>
      <c r="G181" s="336"/>
      <c r="H181" s="24">
        <v>4221</v>
      </c>
      <c r="I181" s="15" t="s">
        <v>165</v>
      </c>
      <c r="J181" s="16">
        <v>15009</v>
      </c>
      <c r="K181" s="16">
        <v>20000</v>
      </c>
      <c r="L181" s="16">
        <v>20000</v>
      </c>
      <c r="M181" s="16">
        <f>Posebni!F62</f>
        <v>20000</v>
      </c>
      <c r="N181" s="16">
        <f>Posebni!G62</f>
        <v>2654.4561682925209</v>
      </c>
      <c r="O181" s="16">
        <f>Posebni!H62</f>
        <v>7000</v>
      </c>
      <c r="P181" s="16">
        <f>Posebni!I62</f>
        <v>-4200</v>
      </c>
      <c r="Q181" s="16">
        <f>SUM(O181+P181)</f>
        <v>2800</v>
      </c>
      <c r="R181" s="742">
        <f t="shared" si="157"/>
        <v>40</v>
      </c>
    </row>
    <row r="182" spans="1:18" x14ac:dyDescent="0.2">
      <c r="A182" s="463"/>
      <c r="B182" s="336"/>
      <c r="C182" s="336"/>
      <c r="D182" s="336"/>
      <c r="E182" s="336"/>
      <c r="F182" s="336"/>
      <c r="G182" s="336"/>
      <c r="H182" s="24">
        <v>4222</v>
      </c>
      <c r="I182" s="15" t="s">
        <v>101</v>
      </c>
      <c r="J182" s="16">
        <v>0</v>
      </c>
      <c r="K182" s="16">
        <v>5000</v>
      </c>
      <c r="L182" s="16">
        <v>5000</v>
      </c>
      <c r="M182" s="16">
        <f>Posebni!F63</f>
        <v>15000</v>
      </c>
      <c r="N182" s="16">
        <f>Posebni!G63</f>
        <v>1990.8421262193906</v>
      </c>
      <c r="O182" s="16">
        <f>Posebni!H63</f>
        <v>4000</v>
      </c>
      <c r="P182" s="16">
        <f>Posebni!I63</f>
        <v>-200</v>
      </c>
      <c r="Q182" s="16">
        <f t="shared" ref="Q182:Q185" si="160">SUM(O182+P182)</f>
        <v>3800</v>
      </c>
      <c r="R182" s="742">
        <f t="shared" si="157"/>
        <v>95</v>
      </c>
    </row>
    <row r="183" spans="1:18" x14ac:dyDescent="0.2">
      <c r="A183" s="463"/>
      <c r="B183" s="336"/>
      <c r="C183" s="336"/>
      <c r="D183" s="336"/>
      <c r="E183" s="336"/>
      <c r="F183" s="336"/>
      <c r="G183" s="336"/>
      <c r="H183" s="24">
        <v>4223</v>
      </c>
      <c r="I183" s="15" t="s">
        <v>112</v>
      </c>
      <c r="J183" s="16">
        <v>0</v>
      </c>
      <c r="K183" s="16">
        <v>2000</v>
      </c>
      <c r="L183" s="16">
        <v>2000</v>
      </c>
      <c r="M183" s="16" t="e">
        <f>Posebni!F64+Posebni!#REF!</f>
        <v>#REF!</v>
      </c>
      <c r="N183" s="16" t="e">
        <f>Posebni!G64+Posebni!#REF!</f>
        <v>#REF!</v>
      </c>
      <c r="O183" s="16">
        <f>Posebni!H64</f>
        <v>1000</v>
      </c>
      <c r="P183" s="16">
        <f>Posebni!I64</f>
        <v>-1000</v>
      </c>
      <c r="Q183" s="16">
        <f t="shared" si="160"/>
        <v>0</v>
      </c>
      <c r="R183" s="742">
        <f t="shared" si="157"/>
        <v>0</v>
      </c>
    </row>
    <row r="184" spans="1:18" x14ac:dyDescent="0.2">
      <c r="A184" s="463"/>
      <c r="B184" s="336"/>
      <c r="C184" s="336"/>
      <c r="D184" s="336"/>
      <c r="E184" s="336"/>
      <c r="F184" s="336"/>
      <c r="G184" s="336"/>
      <c r="H184" s="24">
        <v>4226</v>
      </c>
      <c r="I184" s="15" t="s">
        <v>386</v>
      </c>
      <c r="J184" s="16"/>
      <c r="K184" s="16"/>
      <c r="L184" s="16"/>
      <c r="M184" s="16">
        <f>Posebni!F65</f>
        <v>7500</v>
      </c>
      <c r="N184" s="16">
        <f>Posebni!G65</f>
        <v>995.4210631096953</v>
      </c>
      <c r="O184" s="16">
        <f>Posebni!H65</f>
        <v>1000</v>
      </c>
      <c r="P184" s="16">
        <f>Posebni!I65</f>
        <v>-1000</v>
      </c>
      <c r="Q184" s="16">
        <f t="shared" si="160"/>
        <v>0</v>
      </c>
      <c r="R184" s="742">
        <f t="shared" si="157"/>
        <v>0</v>
      </c>
    </row>
    <row r="185" spans="1:18" x14ac:dyDescent="0.2">
      <c r="A185" s="463"/>
      <c r="B185" s="336"/>
      <c r="C185" s="336"/>
      <c r="D185" s="336"/>
      <c r="E185" s="336"/>
      <c r="F185" s="336"/>
      <c r="G185" s="336"/>
      <c r="H185" s="24">
        <v>4227</v>
      </c>
      <c r="I185" s="15" t="s">
        <v>102</v>
      </c>
      <c r="J185" s="16">
        <v>0</v>
      </c>
      <c r="K185" s="16">
        <v>35000</v>
      </c>
      <c r="L185" s="16">
        <v>35000</v>
      </c>
      <c r="M185" s="16" t="e">
        <f>Posebni!F66+Posebni!#REF!</f>
        <v>#REF!</v>
      </c>
      <c r="N185" s="16" t="e">
        <f>Posebni!G66+Posebni!#REF!</f>
        <v>#REF!</v>
      </c>
      <c r="O185" s="16">
        <f>Posebni!H66</f>
        <v>48500</v>
      </c>
      <c r="P185" s="16">
        <f>Posebni!I66</f>
        <v>-20700</v>
      </c>
      <c r="Q185" s="16">
        <f t="shared" si="160"/>
        <v>27800</v>
      </c>
      <c r="R185" s="742">
        <f t="shared" si="157"/>
        <v>57.319587628865975</v>
      </c>
    </row>
    <row r="186" spans="1:18" s="1" customFormat="1" x14ac:dyDescent="0.2">
      <c r="A186" s="463"/>
      <c r="B186" s="336"/>
      <c r="C186" s="336"/>
      <c r="D186" s="336"/>
      <c r="E186" s="336"/>
      <c r="F186" s="336"/>
      <c r="G186" s="336"/>
      <c r="H186" s="23">
        <v>426</v>
      </c>
      <c r="I186" s="8" t="s">
        <v>117</v>
      </c>
      <c r="J186" s="12">
        <f>SUM(J187:J188)</f>
        <v>0</v>
      </c>
      <c r="K186" s="12">
        <f>SUM(K187:K188)</f>
        <v>105000</v>
      </c>
      <c r="L186" s="12">
        <f>SUM(L187:L188)</f>
        <v>5000</v>
      </c>
      <c r="M186" s="12" t="e">
        <f t="shared" ref="M186:Q186" si="161">SUM(M187:M189)</f>
        <v>#REF!</v>
      </c>
      <c r="N186" s="12" t="e">
        <f t="shared" si="161"/>
        <v>#REF!</v>
      </c>
      <c r="O186" s="12">
        <f t="shared" si="161"/>
        <v>52500</v>
      </c>
      <c r="P186" s="12">
        <f t="shared" si="161"/>
        <v>-11150</v>
      </c>
      <c r="Q186" s="12">
        <f t="shared" si="161"/>
        <v>41350</v>
      </c>
      <c r="R186" s="749">
        <f t="shared" si="157"/>
        <v>78.761904761904759</v>
      </c>
    </row>
    <row r="187" spans="1:18" x14ac:dyDescent="0.2">
      <c r="A187" s="463"/>
      <c r="B187" s="336"/>
      <c r="C187" s="336"/>
      <c r="D187" s="336"/>
      <c r="E187" s="336"/>
      <c r="F187" s="336"/>
      <c r="G187" s="336"/>
      <c r="H187" s="24">
        <v>4262</v>
      </c>
      <c r="I187" s="15" t="s">
        <v>113</v>
      </c>
      <c r="J187" s="16">
        <v>0</v>
      </c>
      <c r="K187" s="16">
        <v>5000</v>
      </c>
      <c r="L187" s="16">
        <v>5000</v>
      </c>
      <c r="M187" s="16">
        <f>Posebni!F72</f>
        <v>20000</v>
      </c>
      <c r="N187" s="16">
        <f>Posebni!G72</f>
        <v>2654.4561682925209</v>
      </c>
      <c r="O187" s="16">
        <f>Posebni!H72</f>
        <v>2000</v>
      </c>
      <c r="P187" s="16">
        <f>Posebni!I72</f>
        <v>-2000</v>
      </c>
      <c r="Q187" s="16">
        <f>SUM(O187+P187)</f>
        <v>0</v>
      </c>
      <c r="R187" s="742">
        <f t="shared" si="157"/>
        <v>0</v>
      </c>
    </row>
    <row r="188" spans="1:18" x14ac:dyDescent="0.2">
      <c r="A188" s="463"/>
      <c r="B188" s="336"/>
      <c r="C188" s="336"/>
      <c r="D188" s="336"/>
      <c r="E188" s="336"/>
      <c r="F188" s="336"/>
      <c r="G188" s="336"/>
      <c r="H188" s="24">
        <v>4263</v>
      </c>
      <c r="I188" s="15" t="s">
        <v>471</v>
      </c>
      <c r="J188" s="16">
        <v>0</v>
      </c>
      <c r="K188" s="16">
        <v>100000</v>
      </c>
      <c r="L188" s="16">
        <v>0</v>
      </c>
      <c r="M188" s="16">
        <v>0</v>
      </c>
      <c r="N188" s="16">
        <v>0</v>
      </c>
      <c r="O188" s="16">
        <f>Posebni!H571+Posebni!H572+Posebni!H578+Posebni!H579</f>
        <v>48000</v>
      </c>
      <c r="P188" s="16">
        <f>Posebni!I571+Posebni!I572+Posebni!I578+Posebni!I579</f>
        <v>-6650</v>
      </c>
      <c r="Q188" s="16">
        <f t="shared" ref="Q188:Q189" si="162">SUM(O188+P188)</f>
        <v>41350</v>
      </c>
      <c r="R188" s="742">
        <f t="shared" si="157"/>
        <v>86.145833333333329</v>
      </c>
    </row>
    <row r="189" spans="1:18" x14ac:dyDescent="0.2">
      <c r="A189" s="463"/>
      <c r="B189" s="336"/>
      <c r="C189" s="336"/>
      <c r="D189" s="336"/>
      <c r="E189" s="336"/>
      <c r="F189" s="336"/>
      <c r="G189" s="336"/>
      <c r="H189" s="24">
        <v>4264</v>
      </c>
      <c r="I189" s="15" t="s">
        <v>387</v>
      </c>
      <c r="J189" s="16"/>
      <c r="K189" s="16"/>
      <c r="L189" s="16"/>
      <c r="M189" s="16" t="e">
        <f>Posebni!F218+Posebni!#REF!</f>
        <v>#REF!</v>
      </c>
      <c r="N189" s="16" t="e">
        <f>Posebni!G218+Posebni!#REF!</f>
        <v>#REF!</v>
      </c>
      <c r="O189" s="16">
        <f>Posebni!H218</f>
        <v>2500</v>
      </c>
      <c r="P189" s="16">
        <f>Posebni!I218</f>
        <v>-2500</v>
      </c>
      <c r="Q189" s="16">
        <f t="shared" si="162"/>
        <v>0</v>
      </c>
      <c r="R189" s="742">
        <f t="shared" si="157"/>
        <v>0</v>
      </c>
    </row>
    <row r="190" spans="1:18" s="65" customFormat="1" x14ac:dyDescent="0.2">
      <c r="A190" s="464"/>
      <c r="B190" s="346"/>
      <c r="C190" s="346"/>
      <c r="D190" s="346"/>
      <c r="E190" s="346"/>
      <c r="F190" s="346"/>
      <c r="G190" s="346"/>
      <c r="H190" s="66">
        <v>45</v>
      </c>
      <c r="I190" s="70" t="s">
        <v>363</v>
      </c>
      <c r="J190" s="68">
        <f t="shared" ref="J190:O190" si="163">SUM(J191+J193)</f>
        <v>0</v>
      </c>
      <c r="K190" s="68">
        <f t="shared" si="163"/>
        <v>0</v>
      </c>
      <c r="L190" s="68">
        <f t="shared" si="163"/>
        <v>0</v>
      </c>
      <c r="M190" s="68" t="e">
        <f t="shared" si="163"/>
        <v>#REF!</v>
      </c>
      <c r="N190" s="68" t="e">
        <f t="shared" si="163"/>
        <v>#REF!</v>
      </c>
      <c r="O190" s="68">
        <f t="shared" si="163"/>
        <v>85500</v>
      </c>
      <c r="P190" s="68">
        <f t="shared" ref="P190:Q190" si="164">SUM(P191+P193)</f>
        <v>-19000</v>
      </c>
      <c r="Q190" s="68">
        <f t="shared" si="164"/>
        <v>66500</v>
      </c>
      <c r="R190" s="748">
        <f>Q190/O190*100</f>
        <v>77.777777777777786</v>
      </c>
    </row>
    <row r="191" spans="1:18" s="1" customFormat="1" x14ac:dyDescent="0.2">
      <c r="A191" s="463"/>
      <c r="B191" s="336"/>
      <c r="C191" s="336"/>
      <c r="D191" s="336" t="s">
        <v>366</v>
      </c>
      <c r="E191" s="336"/>
      <c r="F191" s="336"/>
      <c r="G191" s="336"/>
      <c r="H191" s="23">
        <v>451</v>
      </c>
      <c r="I191" s="8" t="s">
        <v>162</v>
      </c>
      <c r="J191" s="12">
        <f>SUM(J192:J192)</f>
        <v>0</v>
      </c>
      <c r="K191" s="12">
        <f>SUM(K192:K192)</f>
        <v>0</v>
      </c>
      <c r="L191" s="12">
        <f>SUM(L192:L192)</f>
        <v>0</v>
      </c>
      <c r="M191" s="12" t="e">
        <f t="shared" ref="M191:Q191" si="165">SUM(M192)</f>
        <v>#REF!</v>
      </c>
      <c r="N191" s="12" t="e">
        <f t="shared" si="165"/>
        <v>#REF!</v>
      </c>
      <c r="O191" s="12">
        <f t="shared" si="165"/>
        <v>19000</v>
      </c>
      <c r="P191" s="12">
        <f t="shared" si="165"/>
        <v>-19000</v>
      </c>
      <c r="Q191" s="12">
        <f t="shared" si="165"/>
        <v>0</v>
      </c>
      <c r="R191" s="749">
        <f>Q191/O191*100</f>
        <v>0</v>
      </c>
    </row>
    <row r="192" spans="1:18" x14ac:dyDescent="0.2">
      <c r="A192" s="463"/>
      <c r="B192" s="336"/>
      <c r="C192" s="336"/>
      <c r="D192" s="336"/>
      <c r="E192" s="336"/>
      <c r="F192" s="336"/>
      <c r="G192" s="336"/>
      <c r="H192" s="24">
        <v>4511</v>
      </c>
      <c r="I192" s="15" t="s">
        <v>103</v>
      </c>
      <c r="J192" s="16">
        <v>0</v>
      </c>
      <c r="K192" s="16">
        <v>0</v>
      </c>
      <c r="L192" s="16">
        <v>0</v>
      </c>
      <c r="M192" s="16" t="e">
        <f>Posebni!#REF!+Posebni!#REF!</f>
        <v>#REF!</v>
      </c>
      <c r="N192" s="16" t="e">
        <f>Posebni!#REF!+Posebni!#REF!</f>
        <v>#REF!</v>
      </c>
      <c r="O192" s="16">
        <f>Posebni!H366+Posebni!H367</f>
        <v>19000</v>
      </c>
      <c r="P192" s="16">
        <f>Posebni!I366+Posebni!I367</f>
        <v>-19000</v>
      </c>
      <c r="Q192" s="16">
        <f>SUM(O192+P192)</f>
        <v>0</v>
      </c>
      <c r="R192" s="742">
        <f t="shared" ref="R192:R194" si="166">Q192/O192*100</f>
        <v>0</v>
      </c>
    </row>
    <row r="193" spans="1:18" s="1" customFormat="1" x14ac:dyDescent="0.2">
      <c r="A193" s="463"/>
      <c r="B193" s="336"/>
      <c r="C193" s="336"/>
      <c r="D193" s="336"/>
      <c r="E193" s="336"/>
      <c r="F193" s="336"/>
      <c r="G193" s="336"/>
      <c r="H193" s="23">
        <v>454</v>
      </c>
      <c r="I193" s="5" t="s">
        <v>565</v>
      </c>
      <c r="J193" s="12">
        <f t="shared" ref="J193:Q193" si="167">SUM(J194)</f>
        <v>0</v>
      </c>
      <c r="K193" s="12">
        <f t="shared" si="167"/>
        <v>0</v>
      </c>
      <c r="L193" s="12">
        <f t="shared" si="167"/>
        <v>0</v>
      </c>
      <c r="M193" s="12">
        <f t="shared" si="167"/>
        <v>0</v>
      </c>
      <c r="N193" s="12">
        <f t="shared" si="167"/>
        <v>0</v>
      </c>
      <c r="O193" s="12">
        <f t="shared" si="167"/>
        <v>66500</v>
      </c>
      <c r="P193" s="12">
        <f t="shared" si="167"/>
        <v>0</v>
      </c>
      <c r="Q193" s="12">
        <f t="shared" si="167"/>
        <v>66500</v>
      </c>
      <c r="R193" s="749">
        <f t="shared" si="166"/>
        <v>100</v>
      </c>
    </row>
    <row r="194" spans="1:18" x14ac:dyDescent="0.2">
      <c r="A194" s="466"/>
      <c r="B194" s="350"/>
      <c r="C194" s="350"/>
      <c r="D194" s="350"/>
      <c r="E194" s="350"/>
      <c r="F194" s="350"/>
      <c r="G194" s="350"/>
      <c r="H194" s="351">
        <v>4541</v>
      </c>
      <c r="I194" s="352" t="s">
        <v>565</v>
      </c>
      <c r="J194" s="353">
        <v>0</v>
      </c>
      <c r="K194" s="353">
        <v>0</v>
      </c>
      <c r="L194" s="353">
        <v>0</v>
      </c>
      <c r="M194" s="353">
        <v>0</v>
      </c>
      <c r="N194" s="353">
        <v>0</v>
      </c>
      <c r="O194" s="353">
        <f>Posebni!H489+Posebni!H490</f>
        <v>66500</v>
      </c>
      <c r="P194" s="353">
        <f>Posebni!I489+Posebni!I490</f>
        <v>0</v>
      </c>
      <c r="Q194" s="353">
        <f>SUM(O194+P194)</f>
        <v>66500</v>
      </c>
      <c r="R194" s="742">
        <f t="shared" si="166"/>
        <v>100</v>
      </c>
    </row>
    <row r="195" spans="1:18" x14ac:dyDescent="0.2">
      <c r="A195" s="752"/>
      <c r="B195" s="343"/>
      <c r="C195" s="343"/>
      <c r="D195" s="343"/>
      <c r="E195" s="343"/>
      <c r="F195" s="343"/>
      <c r="G195" s="343"/>
      <c r="H195" s="18"/>
      <c r="I195" s="19"/>
      <c r="J195" s="20"/>
      <c r="K195" s="20"/>
      <c r="L195" s="20"/>
      <c r="M195" s="20"/>
      <c r="N195" s="20"/>
      <c r="O195" s="20"/>
      <c r="P195" s="20"/>
      <c r="Q195" s="20"/>
      <c r="R195" s="753"/>
    </row>
    <row r="196" spans="1:18" s="40" customFormat="1" ht="13.5" thickBot="1" x14ac:dyDescent="0.25">
      <c r="A196" s="754"/>
      <c r="B196" s="502"/>
      <c r="C196" s="502"/>
      <c r="D196" s="502"/>
      <c r="E196" s="502"/>
      <c r="F196" s="502"/>
      <c r="G196" s="502"/>
      <c r="H196" s="28" t="s">
        <v>5</v>
      </c>
      <c r="I196" s="503"/>
      <c r="J196" s="504"/>
      <c r="K196" s="504"/>
      <c r="L196" s="504"/>
      <c r="M196" s="504"/>
      <c r="N196" s="504"/>
      <c r="O196" s="139"/>
      <c r="P196" s="139"/>
      <c r="Q196" s="139"/>
      <c r="R196" s="755"/>
    </row>
    <row r="197" spans="1:18" s="56" customFormat="1" x14ac:dyDescent="0.2">
      <c r="A197" s="470"/>
      <c r="B197" s="348"/>
      <c r="C197" s="348"/>
      <c r="D197" s="348"/>
      <c r="E197" s="348"/>
      <c r="F197" s="348"/>
      <c r="G197" s="348"/>
      <c r="H197" s="53">
        <v>8</v>
      </c>
      <c r="I197" s="54" t="s">
        <v>6</v>
      </c>
      <c r="J197" s="55">
        <f t="shared" ref="J197:M197" si="168">SUM(J198+J201)</f>
        <v>2721893</v>
      </c>
      <c r="K197" s="55">
        <f t="shared" si="168"/>
        <v>0</v>
      </c>
      <c r="L197" s="55">
        <f t="shared" si="168"/>
        <v>0</v>
      </c>
      <c r="M197" s="55">
        <f t="shared" si="168"/>
        <v>0</v>
      </c>
      <c r="N197" s="55">
        <f t="shared" ref="N197:O197" si="169">SUM(N198+N201)</f>
        <v>0</v>
      </c>
      <c r="O197" s="584">
        <f t="shared" si="169"/>
        <v>0</v>
      </c>
      <c r="P197" s="584">
        <f t="shared" ref="P197" si="170">SUM(P198+P201)</f>
        <v>0</v>
      </c>
      <c r="Q197" s="584">
        <f t="shared" ref="Q197" si="171">SUM(Q198+Q201)</f>
        <v>0</v>
      </c>
      <c r="R197" s="756">
        <v>0</v>
      </c>
    </row>
    <row r="198" spans="1:18" s="65" customFormat="1" x14ac:dyDescent="0.2">
      <c r="A198" s="464"/>
      <c r="B198" s="346"/>
      <c r="C198" s="346"/>
      <c r="D198" s="346"/>
      <c r="E198" s="346"/>
      <c r="F198" s="346"/>
      <c r="G198" s="346"/>
      <c r="H198" s="71">
        <v>81</v>
      </c>
      <c r="I198" s="67" t="s">
        <v>122</v>
      </c>
      <c r="J198" s="68">
        <f>SUM(J199)</f>
        <v>0</v>
      </c>
      <c r="K198" s="68">
        <f t="shared" ref="K198:Q199" si="172">SUM(K199)</f>
        <v>0</v>
      </c>
      <c r="L198" s="68">
        <f t="shared" si="172"/>
        <v>0</v>
      </c>
      <c r="M198" s="68">
        <f t="shared" si="172"/>
        <v>0</v>
      </c>
      <c r="N198" s="68">
        <f t="shared" si="172"/>
        <v>0</v>
      </c>
      <c r="O198" s="68">
        <f t="shared" si="172"/>
        <v>0</v>
      </c>
      <c r="P198" s="68">
        <f t="shared" si="172"/>
        <v>0</v>
      </c>
      <c r="Q198" s="68">
        <f t="shared" si="172"/>
        <v>0</v>
      </c>
      <c r="R198" s="757">
        <v>0</v>
      </c>
    </row>
    <row r="199" spans="1:18" s="1" customFormat="1" ht="22.5" x14ac:dyDescent="0.2">
      <c r="A199" s="463"/>
      <c r="B199" s="336"/>
      <c r="C199" s="336"/>
      <c r="D199" s="336"/>
      <c r="E199" s="336"/>
      <c r="F199" s="336"/>
      <c r="G199" s="336"/>
      <c r="H199" s="327">
        <v>815</v>
      </c>
      <c r="I199" s="8" t="s">
        <v>163</v>
      </c>
      <c r="J199" s="12">
        <f>SUM(J200)</f>
        <v>0</v>
      </c>
      <c r="K199" s="12">
        <f t="shared" si="172"/>
        <v>0</v>
      </c>
      <c r="L199" s="12">
        <f t="shared" si="172"/>
        <v>0</v>
      </c>
      <c r="M199" s="12">
        <f t="shared" si="172"/>
        <v>0</v>
      </c>
      <c r="N199" s="12">
        <f t="shared" si="172"/>
        <v>0</v>
      </c>
      <c r="O199" s="12">
        <f t="shared" si="172"/>
        <v>0</v>
      </c>
      <c r="P199" s="12">
        <f t="shared" si="172"/>
        <v>0</v>
      </c>
      <c r="Q199" s="12">
        <f t="shared" si="172"/>
        <v>0</v>
      </c>
      <c r="R199" s="758">
        <v>0</v>
      </c>
    </row>
    <row r="200" spans="1:18" s="2" customFormat="1" x14ac:dyDescent="0.2">
      <c r="A200" s="463"/>
      <c r="B200" s="336"/>
      <c r="C200" s="336"/>
      <c r="D200" s="336"/>
      <c r="E200" s="336"/>
      <c r="F200" s="336"/>
      <c r="G200" s="336"/>
      <c r="H200" s="35">
        <v>8151</v>
      </c>
      <c r="I200" s="44" t="s">
        <v>123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f>SUM(O200+P200)</f>
        <v>0</v>
      </c>
      <c r="R200" s="759">
        <v>0</v>
      </c>
    </row>
    <row r="201" spans="1:18" s="65" customFormat="1" ht="13.5" customHeight="1" x14ac:dyDescent="0.2">
      <c r="A201" s="464"/>
      <c r="B201" s="346"/>
      <c r="C201" s="346"/>
      <c r="D201" s="346"/>
      <c r="E201" s="346"/>
      <c r="F201" s="346"/>
      <c r="G201" s="346"/>
      <c r="H201" s="71">
        <v>84</v>
      </c>
      <c r="I201" s="67" t="s">
        <v>104</v>
      </c>
      <c r="J201" s="68">
        <f t="shared" ref="J201:Q202" si="173">SUM(J202)</f>
        <v>2721893</v>
      </c>
      <c r="K201" s="68">
        <f t="shared" si="173"/>
        <v>0</v>
      </c>
      <c r="L201" s="68">
        <f t="shared" si="173"/>
        <v>0</v>
      </c>
      <c r="M201" s="68">
        <f t="shared" si="173"/>
        <v>0</v>
      </c>
      <c r="N201" s="68">
        <f t="shared" si="173"/>
        <v>0</v>
      </c>
      <c r="O201" s="68">
        <f t="shared" si="173"/>
        <v>0</v>
      </c>
      <c r="P201" s="68">
        <f t="shared" si="173"/>
        <v>0</v>
      </c>
      <c r="Q201" s="68">
        <f t="shared" si="173"/>
        <v>0</v>
      </c>
      <c r="R201" s="757">
        <v>0</v>
      </c>
    </row>
    <row r="202" spans="1:18" s="1" customFormat="1" ht="22.5" x14ac:dyDescent="0.2">
      <c r="A202" s="463"/>
      <c r="B202" s="336"/>
      <c r="C202" s="336"/>
      <c r="D202" s="336"/>
      <c r="E202" s="336"/>
      <c r="F202" s="336"/>
      <c r="G202" s="336"/>
      <c r="H202" s="327">
        <v>844</v>
      </c>
      <c r="I202" s="8" t="s">
        <v>115</v>
      </c>
      <c r="J202" s="12">
        <f t="shared" si="173"/>
        <v>2721893</v>
      </c>
      <c r="K202" s="12">
        <f t="shared" si="173"/>
        <v>0</v>
      </c>
      <c r="L202" s="12">
        <f t="shared" si="173"/>
        <v>0</v>
      </c>
      <c r="M202" s="12">
        <f t="shared" si="173"/>
        <v>0</v>
      </c>
      <c r="N202" s="12">
        <f t="shared" si="173"/>
        <v>0</v>
      </c>
      <c r="O202" s="12">
        <f t="shared" si="173"/>
        <v>0</v>
      </c>
      <c r="P202" s="12">
        <f t="shared" si="173"/>
        <v>0</v>
      </c>
      <c r="Q202" s="12">
        <f t="shared" si="173"/>
        <v>0</v>
      </c>
      <c r="R202" s="758">
        <v>0</v>
      </c>
    </row>
    <row r="203" spans="1:18" s="2" customFormat="1" ht="22.5" x14ac:dyDescent="0.2">
      <c r="A203" s="463"/>
      <c r="B203" s="336"/>
      <c r="C203" s="336"/>
      <c r="D203" s="336"/>
      <c r="E203" s="336"/>
      <c r="F203" s="336"/>
      <c r="G203" s="336"/>
      <c r="H203" s="35">
        <v>8443</v>
      </c>
      <c r="I203" s="15" t="s">
        <v>116</v>
      </c>
      <c r="J203" s="16">
        <v>2721893</v>
      </c>
      <c r="K203" s="16">
        <v>0</v>
      </c>
      <c r="L203" s="16">
        <v>0</v>
      </c>
      <c r="M203" s="16"/>
      <c r="N203" s="16"/>
      <c r="O203" s="16"/>
      <c r="P203" s="16"/>
      <c r="Q203" s="16"/>
      <c r="R203" s="759">
        <v>0</v>
      </c>
    </row>
    <row r="204" spans="1:18" s="52" customFormat="1" ht="13.5" thickBot="1" x14ac:dyDescent="0.25">
      <c r="A204" s="467"/>
      <c r="B204" s="347"/>
      <c r="C204" s="347"/>
      <c r="D204" s="347"/>
      <c r="E204" s="347"/>
      <c r="F204" s="347"/>
      <c r="G204" s="347"/>
      <c r="H204" s="57">
        <v>5</v>
      </c>
      <c r="I204" s="58" t="s">
        <v>164</v>
      </c>
      <c r="J204" s="51">
        <f t="shared" ref="J204:M204" si="174">SUM(J205,J208)</f>
        <v>0</v>
      </c>
      <c r="K204" s="51">
        <f t="shared" si="174"/>
        <v>0</v>
      </c>
      <c r="L204" s="51">
        <f t="shared" si="174"/>
        <v>0</v>
      </c>
      <c r="M204" s="51" t="e">
        <f t="shared" si="174"/>
        <v>#REF!</v>
      </c>
      <c r="N204" s="51" t="e">
        <f t="shared" ref="N204:O204" si="175">SUM(N205,N208)</f>
        <v>#REF!</v>
      </c>
      <c r="O204" s="51">
        <f t="shared" si="175"/>
        <v>0</v>
      </c>
      <c r="P204" s="51">
        <f t="shared" ref="P204" si="176">SUM(P205,P208)</f>
        <v>0</v>
      </c>
      <c r="Q204" s="51">
        <f t="shared" ref="Q204" si="177">SUM(Q205,Q208)</f>
        <v>0</v>
      </c>
      <c r="R204" s="760">
        <v>0</v>
      </c>
    </row>
    <row r="205" spans="1:18" s="65" customFormat="1" x14ac:dyDescent="0.2">
      <c r="A205" s="462"/>
      <c r="B205" s="345"/>
      <c r="C205" s="345"/>
      <c r="D205" s="345"/>
      <c r="E205" s="345"/>
      <c r="F205" s="345"/>
      <c r="G205" s="345"/>
      <c r="H205" s="72">
        <v>51</v>
      </c>
      <c r="I205" s="63" t="s">
        <v>124</v>
      </c>
      <c r="J205" s="64">
        <f t="shared" ref="J205:Q206" si="178">SUM(J206)</f>
        <v>0</v>
      </c>
      <c r="K205" s="64">
        <f t="shared" si="178"/>
        <v>0</v>
      </c>
      <c r="L205" s="64">
        <f t="shared" si="178"/>
        <v>0</v>
      </c>
      <c r="M205" s="64">
        <f t="shared" si="178"/>
        <v>0</v>
      </c>
      <c r="N205" s="64">
        <f t="shared" si="178"/>
        <v>0</v>
      </c>
      <c r="O205" s="64">
        <f t="shared" si="178"/>
        <v>0</v>
      </c>
      <c r="P205" s="64">
        <f t="shared" si="178"/>
        <v>0</v>
      </c>
      <c r="Q205" s="64">
        <f t="shared" si="178"/>
        <v>0</v>
      </c>
      <c r="R205" s="757">
        <v>0</v>
      </c>
    </row>
    <row r="206" spans="1:18" s="2" customFormat="1" x14ac:dyDescent="0.2">
      <c r="A206" s="463"/>
      <c r="B206" s="336"/>
      <c r="C206" s="336"/>
      <c r="D206" s="336"/>
      <c r="E206" s="336"/>
      <c r="F206" s="336"/>
      <c r="G206" s="336"/>
      <c r="H206" s="327">
        <v>515</v>
      </c>
      <c r="I206" s="5" t="s">
        <v>125</v>
      </c>
      <c r="J206" s="12">
        <f t="shared" si="178"/>
        <v>0</v>
      </c>
      <c r="K206" s="12">
        <f t="shared" si="178"/>
        <v>0</v>
      </c>
      <c r="L206" s="12">
        <f t="shared" si="178"/>
        <v>0</v>
      </c>
      <c r="M206" s="12">
        <f t="shared" si="178"/>
        <v>0</v>
      </c>
      <c r="N206" s="12">
        <f t="shared" si="178"/>
        <v>0</v>
      </c>
      <c r="O206" s="12">
        <f t="shared" si="178"/>
        <v>0</v>
      </c>
      <c r="P206" s="12">
        <f t="shared" si="178"/>
        <v>0</v>
      </c>
      <c r="Q206" s="12">
        <f t="shared" si="178"/>
        <v>0</v>
      </c>
      <c r="R206" s="758">
        <v>0</v>
      </c>
    </row>
    <row r="207" spans="1:18" s="2" customFormat="1" x14ac:dyDescent="0.2">
      <c r="A207" s="463"/>
      <c r="B207" s="336"/>
      <c r="C207" s="336"/>
      <c r="D207" s="336"/>
      <c r="E207" s="336"/>
      <c r="F207" s="336"/>
      <c r="G207" s="336"/>
      <c r="H207" s="35">
        <v>5151</v>
      </c>
      <c r="I207" s="15" t="s">
        <v>126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759">
        <v>0</v>
      </c>
    </row>
    <row r="208" spans="1:18" s="65" customFormat="1" x14ac:dyDescent="0.2">
      <c r="A208" s="464"/>
      <c r="B208" s="346"/>
      <c r="C208" s="346"/>
      <c r="D208" s="346"/>
      <c r="E208" s="346"/>
      <c r="F208" s="346"/>
      <c r="G208" s="346"/>
      <c r="H208" s="71">
        <v>54</v>
      </c>
      <c r="I208" s="70" t="s">
        <v>105</v>
      </c>
      <c r="J208" s="68">
        <f t="shared" ref="J208:M208" si="179">SUM(J209+J211)</f>
        <v>0</v>
      </c>
      <c r="K208" s="68">
        <f t="shared" si="179"/>
        <v>0</v>
      </c>
      <c r="L208" s="68">
        <f t="shared" si="179"/>
        <v>0</v>
      </c>
      <c r="M208" s="68" t="e">
        <f t="shared" si="179"/>
        <v>#REF!</v>
      </c>
      <c r="N208" s="68" t="e">
        <f t="shared" ref="N208:O208" si="180">SUM(N209+N211)</f>
        <v>#REF!</v>
      </c>
      <c r="O208" s="68">
        <f t="shared" si="180"/>
        <v>0</v>
      </c>
      <c r="P208" s="68">
        <f t="shared" ref="P208" si="181">SUM(P209+P211)</f>
        <v>0</v>
      </c>
      <c r="Q208" s="68">
        <f t="shared" ref="Q208" si="182">SUM(Q209+Q211)</f>
        <v>0</v>
      </c>
      <c r="R208" s="757">
        <v>0</v>
      </c>
    </row>
    <row r="209" spans="1:18" s="1" customFormat="1" ht="22.5" x14ac:dyDescent="0.2">
      <c r="A209" s="463"/>
      <c r="B209" s="336"/>
      <c r="C209" s="336"/>
      <c r="D209" s="336"/>
      <c r="E209" s="336"/>
      <c r="F209" s="336"/>
      <c r="G209" s="336"/>
      <c r="H209" s="327">
        <v>543</v>
      </c>
      <c r="I209" s="8" t="s">
        <v>118</v>
      </c>
      <c r="J209" s="12">
        <f t="shared" ref="J209:Q209" si="183">SUM(J210)</f>
        <v>0</v>
      </c>
      <c r="K209" s="12">
        <f t="shared" si="183"/>
        <v>0</v>
      </c>
      <c r="L209" s="12">
        <f t="shared" si="183"/>
        <v>0</v>
      </c>
      <c r="M209" s="12">
        <f t="shared" si="183"/>
        <v>0</v>
      </c>
      <c r="N209" s="12">
        <f t="shared" si="183"/>
        <v>0</v>
      </c>
      <c r="O209" s="12">
        <f t="shared" si="183"/>
        <v>0</v>
      </c>
      <c r="P209" s="12">
        <f t="shared" si="183"/>
        <v>0</v>
      </c>
      <c r="Q209" s="12">
        <f t="shared" si="183"/>
        <v>0</v>
      </c>
      <c r="R209" s="758">
        <v>0</v>
      </c>
    </row>
    <row r="210" spans="1:18" s="2" customFormat="1" ht="22.5" x14ac:dyDescent="0.2">
      <c r="A210" s="463"/>
      <c r="B210" s="336"/>
      <c r="C210" s="336"/>
      <c r="D210" s="336"/>
      <c r="E210" s="336"/>
      <c r="F210" s="336"/>
      <c r="G210" s="336"/>
      <c r="H210" s="35">
        <v>5431</v>
      </c>
      <c r="I210" s="15" t="s">
        <v>118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759">
        <v>0</v>
      </c>
    </row>
    <row r="211" spans="1:18" s="1" customFormat="1" ht="22.5" x14ac:dyDescent="0.2">
      <c r="A211" s="463"/>
      <c r="B211" s="336"/>
      <c r="C211" s="336"/>
      <c r="D211" s="336"/>
      <c r="E211" s="336"/>
      <c r="F211" s="336"/>
      <c r="G211" s="336"/>
      <c r="H211" s="327">
        <v>545</v>
      </c>
      <c r="I211" s="8" t="s">
        <v>485</v>
      </c>
      <c r="J211" s="12">
        <f t="shared" ref="J211:Q211" si="184">SUM(J212)</f>
        <v>0</v>
      </c>
      <c r="K211" s="12">
        <f t="shared" si="184"/>
        <v>0</v>
      </c>
      <c r="L211" s="12">
        <f t="shared" si="184"/>
        <v>0</v>
      </c>
      <c r="M211" s="12" t="e">
        <f t="shared" si="184"/>
        <v>#REF!</v>
      </c>
      <c r="N211" s="12" t="e">
        <f t="shared" si="184"/>
        <v>#REF!</v>
      </c>
      <c r="O211" s="12">
        <f t="shared" si="184"/>
        <v>0</v>
      </c>
      <c r="P211" s="12">
        <f t="shared" si="184"/>
        <v>0</v>
      </c>
      <c r="Q211" s="12">
        <f t="shared" si="184"/>
        <v>0</v>
      </c>
      <c r="R211" s="758">
        <v>0</v>
      </c>
    </row>
    <row r="212" spans="1:18" s="109" customFormat="1" ht="23.25" thickBot="1" x14ac:dyDescent="0.25">
      <c r="A212" s="468"/>
      <c r="B212" s="434"/>
      <c r="C212" s="434"/>
      <c r="D212" s="434"/>
      <c r="E212" s="434"/>
      <c r="F212" s="434"/>
      <c r="G212" s="434"/>
      <c r="H212" s="435">
        <v>5453</v>
      </c>
      <c r="I212" s="436" t="s">
        <v>485</v>
      </c>
      <c r="J212" s="437">
        <v>0</v>
      </c>
      <c r="K212" s="437">
        <v>0</v>
      </c>
      <c r="L212" s="437">
        <v>0</v>
      </c>
      <c r="M212" s="437" t="e">
        <f>Posebni!#REF!</f>
        <v>#REF!</v>
      </c>
      <c r="N212" s="437" t="e">
        <f>Posebni!#REF!</f>
        <v>#REF!</v>
      </c>
      <c r="O212" s="437">
        <v>0</v>
      </c>
      <c r="P212" s="437">
        <v>0</v>
      </c>
      <c r="Q212" s="437">
        <v>0</v>
      </c>
      <c r="R212" s="761">
        <v>0</v>
      </c>
    </row>
    <row r="213" spans="1:18" s="2" customFormat="1" x14ac:dyDescent="0.2">
      <c r="A213" s="469"/>
      <c r="B213" s="343"/>
      <c r="C213" s="343"/>
      <c r="D213" s="343"/>
      <c r="E213" s="343"/>
      <c r="F213" s="343"/>
      <c r="G213" s="343"/>
      <c r="H213" s="18"/>
      <c r="I213" s="19"/>
      <c r="J213" s="20"/>
      <c r="K213" s="20"/>
      <c r="L213" s="20"/>
      <c r="M213" s="20"/>
      <c r="N213" s="20"/>
      <c r="O213" s="20"/>
      <c r="P213" s="20"/>
      <c r="Q213" s="20"/>
      <c r="R213" s="21"/>
    </row>
    <row r="214" spans="1:18" s="2" customFormat="1" x14ac:dyDescent="0.2">
      <c r="A214" s="469"/>
      <c r="B214" s="343"/>
      <c r="C214" s="343"/>
      <c r="D214" s="343"/>
      <c r="E214" s="343"/>
      <c r="F214" s="343"/>
      <c r="G214" s="343"/>
      <c r="H214" s="18"/>
      <c r="I214" s="19"/>
      <c r="J214" s="22"/>
      <c r="K214" s="22"/>
      <c r="L214" s="22"/>
      <c r="M214" s="22"/>
      <c r="N214" s="22"/>
      <c r="O214" s="22"/>
      <c r="P214" s="22"/>
      <c r="Q214" s="22"/>
      <c r="R214" s="21"/>
    </row>
    <row r="215" spans="1:18" s="40" customFormat="1" ht="13.5" thickBot="1" x14ac:dyDescent="0.25">
      <c r="A215" s="501"/>
      <c r="B215" s="502"/>
      <c r="C215" s="502"/>
      <c r="D215" s="502"/>
      <c r="E215" s="502"/>
      <c r="F215" s="502"/>
      <c r="G215" s="502"/>
      <c r="H215" s="28" t="s">
        <v>106</v>
      </c>
      <c r="I215" s="503"/>
      <c r="J215" s="504"/>
      <c r="K215" s="504"/>
      <c r="L215" s="504"/>
      <c r="M215" s="504"/>
      <c r="N215" s="504"/>
      <c r="O215" s="139"/>
      <c r="P215" s="139"/>
      <c r="Q215" s="139"/>
    </row>
    <row r="216" spans="1:18" s="56" customFormat="1" x14ac:dyDescent="0.2">
      <c r="A216" s="470"/>
      <c r="B216" s="348"/>
      <c r="C216" s="348"/>
      <c r="D216" s="348"/>
      <c r="E216" s="348"/>
      <c r="F216" s="348"/>
      <c r="G216" s="348"/>
      <c r="H216" s="59">
        <v>9</v>
      </c>
      <c r="I216" s="60" t="s">
        <v>8</v>
      </c>
      <c r="J216" s="55">
        <f t="shared" ref="J216:Q217" si="185">SUM(J217)</f>
        <v>610476</v>
      </c>
      <c r="K216" s="55">
        <f t="shared" si="185"/>
        <v>0</v>
      </c>
      <c r="L216" s="55">
        <f t="shared" si="185"/>
        <v>0</v>
      </c>
      <c r="M216" s="55">
        <f t="shared" si="185"/>
        <v>0</v>
      </c>
      <c r="N216" s="55">
        <f t="shared" si="185"/>
        <v>0</v>
      </c>
      <c r="O216" s="584">
        <f t="shared" si="185"/>
        <v>900000</v>
      </c>
      <c r="P216" s="584">
        <f t="shared" si="185"/>
        <v>0</v>
      </c>
      <c r="Q216" s="584">
        <f t="shared" si="185"/>
        <v>900000</v>
      </c>
      <c r="R216" s="762">
        <f>P216/O216*100</f>
        <v>0</v>
      </c>
    </row>
    <row r="217" spans="1:18" s="65" customFormat="1" x14ac:dyDescent="0.2">
      <c r="A217" s="464"/>
      <c r="B217" s="346"/>
      <c r="C217" s="346"/>
      <c r="D217" s="346"/>
      <c r="E217" s="346"/>
      <c r="F217" s="346"/>
      <c r="G217" s="346"/>
      <c r="H217" s="66">
        <v>92</v>
      </c>
      <c r="I217" s="67" t="s">
        <v>107</v>
      </c>
      <c r="J217" s="68">
        <f t="shared" si="185"/>
        <v>610476</v>
      </c>
      <c r="K217" s="68">
        <f t="shared" si="185"/>
        <v>0</v>
      </c>
      <c r="L217" s="68">
        <f t="shared" si="185"/>
        <v>0</v>
      </c>
      <c r="M217" s="68">
        <f t="shared" si="185"/>
        <v>0</v>
      </c>
      <c r="N217" s="68">
        <f t="shared" si="185"/>
        <v>0</v>
      </c>
      <c r="O217" s="68">
        <f t="shared" si="185"/>
        <v>900000</v>
      </c>
      <c r="P217" s="68">
        <f t="shared" si="185"/>
        <v>0</v>
      </c>
      <c r="Q217" s="68">
        <f t="shared" si="185"/>
        <v>900000</v>
      </c>
      <c r="R217" s="751">
        <f>P217/O217*100</f>
        <v>0</v>
      </c>
    </row>
    <row r="218" spans="1:18" s="1" customFormat="1" x14ac:dyDescent="0.2">
      <c r="A218" s="463"/>
      <c r="B218" s="336"/>
      <c r="C218" s="336"/>
      <c r="D218" s="336"/>
      <c r="E218" s="336"/>
      <c r="F218" s="336"/>
      <c r="G218" s="336"/>
      <c r="H218" s="23">
        <v>922</v>
      </c>
      <c r="I218" s="8" t="s">
        <v>108</v>
      </c>
      <c r="J218" s="12">
        <f t="shared" ref="J218:O218" si="186">SUM(J219+J220)</f>
        <v>610476</v>
      </c>
      <c r="K218" s="12">
        <f t="shared" si="186"/>
        <v>0</v>
      </c>
      <c r="L218" s="12">
        <f t="shared" si="186"/>
        <v>0</v>
      </c>
      <c r="M218" s="12">
        <f t="shared" si="186"/>
        <v>0</v>
      </c>
      <c r="N218" s="12">
        <f t="shared" si="186"/>
        <v>0</v>
      </c>
      <c r="O218" s="12">
        <f t="shared" si="186"/>
        <v>900000</v>
      </c>
      <c r="P218" s="12">
        <f t="shared" ref="P218:Q218" si="187">SUM(P219+P220)</f>
        <v>0</v>
      </c>
      <c r="Q218" s="12">
        <f t="shared" si="187"/>
        <v>900000</v>
      </c>
      <c r="R218" s="741">
        <f>K218/J218*100</f>
        <v>0</v>
      </c>
    </row>
    <row r="219" spans="1:18" s="40" customFormat="1" x14ac:dyDescent="0.2">
      <c r="A219" s="471"/>
      <c r="B219" s="36"/>
      <c r="C219" s="36"/>
      <c r="D219" s="36"/>
      <c r="E219" s="36"/>
      <c r="F219" s="36"/>
      <c r="G219" s="36"/>
      <c r="H219" s="37">
        <v>9221</v>
      </c>
      <c r="I219" s="38" t="s">
        <v>409</v>
      </c>
      <c r="J219" s="39">
        <v>610476</v>
      </c>
      <c r="K219" s="39">
        <v>0</v>
      </c>
      <c r="L219" s="39">
        <v>0</v>
      </c>
      <c r="M219" s="39">
        <v>0</v>
      </c>
      <c r="N219" s="39">
        <v>0</v>
      </c>
      <c r="O219" s="353">
        <v>900000</v>
      </c>
      <c r="P219" s="353">
        <v>0</v>
      </c>
      <c r="Q219" s="353">
        <f>SUM(O219+P219)</f>
        <v>900000</v>
      </c>
      <c r="R219" s="741">
        <v>0</v>
      </c>
    </row>
    <row r="220" spans="1:18" ht="13.5" thickBot="1" x14ac:dyDescent="0.25">
      <c r="A220" s="472"/>
      <c r="B220" s="249"/>
      <c r="C220" s="249"/>
      <c r="D220" s="249"/>
      <c r="E220" s="249"/>
      <c r="F220" s="249"/>
      <c r="G220" s="249"/>
      <c r="H220" s="30">
        <v>9222</v>
      </c>
      <c r="I220" s="31" t="s">
        <v>410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763">
        <v>0</v>
      </c>
    </row>
    <row r="221" spans="1:18" x14ac:dyDescent="0.2">
      <c r="I221" s="4"/>
      <c r="K221" s="3"/>
    </row>
    <row r="222" spans="1:18" ht="15.75" x14ac:dyDescent="0.2">
      <c r="H222" s="563"/>
      <c r="I222" s="4"/>
      <c r="K222" s="3"/>
    </row>
    <row r="223" spans="1:18" x14ac:dyDescent="0.2">
      <c r="I223" s="4"/>
      <c r="K223" s="3"/>
    </row>
    <row r="224" spans="1:18" s="457" customFormat="1" ht="12" x14ac:dyDescent="0.2">
      <c r="H224" s="458" t="s">
        <v>498</v>
      </c>
      <c r="I224" s="459"/>
      <c r="K224" s="460"/>
      <c r="O224" s="180"/>
      <c r="P224" s="180"/>
      <c r="Q224" s="180"/>
    </row>
    <row r="225" spans="9:18" s="457" customFormat="1" ht="12" x14ac:dyDescent="0.2">
      <c r="I225" s="457" t="s">
        <v>491</v>
      </c>
      <c r="O225" s="180"/>
      <c r="P225" s="180"/>
      <c r="Q225" s="180"/>
    </row>
    <row r="226" spans="9:18" s="457" customFormat="1" ht="12" x14ac:dyDescent="0.2">
      <c r="I226" s="457" t="s">
        <v>492</v>
      </c>
      <c r="O226" s="180"/>
      <c r="P226" s="180"/>
      <c r="Q226" s="180"/>
    </row>
    <row r="227" spans="9:18" s="457" customFormat="1" ht="12" x14ac:dyDescent="0.2">
      <c r="I227" s="457" t="s">
        <v>493</v>
      </c>
      <c r="O227" s="180"/>
      <c r="P227" s="180"/>
      <c r="Q227" s="180"/>
    </row>
    <row r="228" spans="9:18" s="457" customFormat="1" ht="12" x14ac:dyDescent="0.2">
      <c r="I228" s="457" t="s">
        <v>494</v>
      </c>
      <c r="O228" s="180"/>
      <c r="P228" s="180"/>
      <c r="Q228" s="180"/>
    </row>
    <row r="229" spans="9:18" s="457" customFormat="1" ht="12" x14ac:dyDescent="0.2">
      <c r="I229" s="457" t="s">
        <v>495</v>
      </c>
      <c r="O229" s="180"/>
      <c r="P229" s="180"/>
      <c r="Q229" s="180"/>
    </row>
    <row r="230" spans="9:18" s="457" customFormat="1" ht="12" x14ac:dyDescent="0.2">
      <c r="I230" s="823" t="s">
        <v>496</v>
      </c>
      <c r="J230" s="823"/>
      <c r="K230" s="823"/>
      <c r="L230" s="823"/>
      <c r="M230" s="823"/>
      <c r="N230" s="823"/>
      <c r="O230" s="823"/>
      <c r="P230" s="823"/>
      <c r="Q230" s="823"/>
      <c r="R230" s="823"/>
    </row>
    <row r="231" spans="9:18" s="457" customFormat="1" ht="12" x14ac:dyDescent="0.2">
      <c r="I231" s="457" t="s">
        <v>497</v>
      </c>
      <c r="O231" s="180"/>
      <c r="P231" s="180"/>
      <c r="Q231" s="180"/>
    </row>
    <row r="232" spans="9:18" s="457" customFormat="1" ht="12" x14ac:dyDescent="0.2">
      <c r="I232" s="457" t="s">
        <v>540</v>
      </c>
      <c r="O232" s="180"/>
      <c r="P232" s="180"/>
      <c r="Q232" s="180"/>
    </row>
  </sheetData>
  <mergeCells count="11">
    <mergeCell ref="I230:R230"/>
    <mergeCell ref="H30:I30"/>
    <mergeCell ref="A11:G11"/>
    <mergeCell ref="A2:I2"/>
    <mergeCell ref="A6:R6"/>
    <mergeCell ref="A7:R7"/>
    <mergeCell ref="A9:I9"/>
    <mergeCell ref="A32:R32"/>
    <mergeCell ref="A13:R13"/>
    <mergeCell ref="A22:R22"/>
    <mergeCell ref="A27:R27"/>
  </mergeCells>
  <phoneticPr fontId="0" type="noConversion"/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horizontalDpi="300" verticalDpi="300" r:id="rId1"/>
  <headerFooter alignWithMargins="0">
    <oddFooter>Stranica &amp;P</oddFooter>
  </headerFooter>
  <rowBreaks count="4" manualBreakCount="4">
    <brk id="32" max="17" man="1"/>
    <brk id="87" max="17" man="1"/>
    <brk id="136" max="17" man="1"/>
    <brk id="18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43"/>
  <sheetViews>
    <sheetView view="pageBreakPreview" topLeftCell="A601" zoomScale="85" zoomScaleNormal="85" zoomScaleSheetLayoutView="85" workbookViewId="0">
      <selection activeCell="I642" sqref="I642"/>
    </sheetView>
  </sheetViews>
  <sheetFormatPr defaultRowHeight="12.75" x14ac:dyDescent="0.2"/>
  <cols>
    <col min="1" max="1" width="12.85546875" customWidth="1"/>
    <col min="2" max="2" width="6.28515625" customWidth="1"/>
    <col min="3" max="3" width="8.7109375" customWidth="1"/>
    <col min="4" max="4" width="67.42578125" customWidth="1"/>
    <col min="5" max="5" width="0.28515625" hidden="1" customWidth="1"/>
    <col min="6" max="7" width="21.5703125" style="534" hidden="1" customWidth="1"/>
    <col min="8" max="10" width="21.5703125" style="40" customWidth="1"/>
    <col min="11" max="11" width="21.5703125" style="534" hidden="1" customWidth="1"/>
    <col min="12" max="12" width="10.140625" style="417" customWidth="1"/>
  </cols>
  <sheetData>
    <row r="1" spans="1:12" ht="14.25" x14ac:dyDescent="0.2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</row>
    <row r="2" spans="1:12" ht="14.25" x14ac:dyDescent="0.2">
      <c r="A2" s="872"/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2" ht="18" customHeight="1" x14ac:dyDescent="0.25">
      <c r="A3" s="873" t="s">
        <v>475</v>
      </c>
      <c r="B3" s="873"/>
      <c r="C3" s="873"/>
      <c r="D3" s="873"/>
      <c r="E3" s="873"/>
      <c r="F3" s="873"/>
      <c r="G3" s="549"/>
      <c r="H3" s="549"/>
      <c r="I3" s="549"/>
      <c r="J3" s="549"/>
      <c r="K3" s="558"/>
      <c r="L3" s="431"/>
    </row>
    <row r="4" spans="1:12" ht="17.45" customHeight="1" thickBot="1" x14ac:dyDescent="0.25">
      <c r="A4" s="432"/>
      <c r="B4" s="432"/>
      <c r="C4" s="432"/>
      <c r="D4" s="432"/>
      <c r="E4" s="432"/>
      <c r="F4" s="522"/>
      <c r="G4" s="522"/>
      <c r="H4" s="432"/>
      <c r="I4" s="432"/>
      <c r="J4" s="432"/>
      <c r="K4" s="522"/>
      <c r="L4" s="432"/>
    </row>
    <row r="5" spans="1:12" s="359" customFormat="1" ht="64.150000000000006" customHeight="1" thickBot="1" x14ac:dyDescent="0.25">
      <c r="A5" s="411" t="s">
        <v>172</v>
      </c>
      <c r="B5" s="441" t="s">
        <v>109</v>
      </c>
      <c r="C5" s="412" t="s">
        <v>10</v>
      </c>
      <c r="D5" s="456" t="s">
        <v>173</v>
      </c>
      <c r="E5" s="413" t="s">
        <v>175</v>
      </c>
      <c r="F5" s="433" t="s">
        <v>504</v>
      </c>
      <c r="G5" s="433" t="s">
        <v>503</v>
      </c>
      <c r="H5" s="433" t="s">
        <v>561</v>
      </c>
      <c r="I5" s="433" t="s">
        <v>629</v>
      </c>
      <c r="J5" s="433" t="s">
        <v>630</v>
      </c>
      <c r="K5" s="565" t="s">
        <v>515</v>
      </c>
      <c r="L5" s="412" t="s">
        <v>541</v>
      </c>
    </row>
    <row r="6" spans="1:12" s="210" customFormat="1" ht="15.75" thickTop="1" thickBot="1" x14ac:dyDescent="0.25">
      <c r="A6" s="555"/>
      <c r="B6" s="556"/>
      <c r="C6" s="409"/>
      <c r="D6" s="410"/>
      <c r="E6" s="410"/>
      <c r="F6" s="410"/>
      <c r="G6" s="410"/>
      <c r="H6" s="410">
        <v>1</v>
      </c>
      <c r="I6" s="410">
        <v>2</v>
      </c>
      <c r="J6" s="410">
        <v>3</v>
      </c>
      <c r="K6" s="557">
        <v>6</v>
      </c>
      <c r="L6" s="410">
        <v>4</v>
      </c>
    </row>
    <row r="7" spans="1:12" s="554" customFormat="1" ht="21" thickBot="1" x14ac:dyDescent="0.25">
      <c r="A7" s="877" t="s">
        <v>441</v>
      </c>
      <c r="B7" s="878"/>
      <c r="C7" s="878"/>
      <c r="D7" s="879"/>
      <c r="E7" s="540" t="e">
        <f>SUM(E8+#REF!+#REF!+#REF!+#REF!+#REF!+#REF!+#REF!+#REF!+#REF!)</f>
        <v>#REF!</v>
      </c>
      <c r="F7" s="540" t="e">
        <f t="shared" ref="F7:K7" si="0">SUM(F8)</f>
        <v>#REF!</v>
      </c>
      <c r="G7" s="540" t="e">
        <f t="shared" si="0"/>
        <v>#REF!</v>
      </c>
      <c r="H7" s="540">
        <f t="shared" si="0"/>
        <v>3685160</v>
      </c>
      <c r="I7" s="540">
        <f t="shared" si="0"/>
        <v>-21565</v>
      </c>
      <c r="J7" s="540">
        <f t="shared" si="0"/>
        <v>3663595</v>
      </c>
      <c r="K7" s="553" t="e">
        <f t="shared" si="0"/>
        <v>#REF!</v>
      </c>
      <c r="L7" s="731">
        <f>AVERAGE(J7/H7*100)</f>
        <v>99.414815096223776</v>
      </c>
    </row>
    <row r="8" spans="1:12" s="419" customFormat="1" ht="43.9" customHeight="1" thickBot="1" x14ac:dyDescent="0.25">
      <c r="A8" s="874" t="s">
        <v>442</v>
      </c>
      <c r="B8" s="875"/>
      <c r="C8" s="875"/>
      <c r="D8" s="876"/>
      <c r="E8" s="418">
        <v>1114522.06</v>
      </c>
      <c r="F8" s="418" t="e">
        <f t="shared" ref="F8:I8" si="1">SUM(F641)</f>
        <v>#REF!</v>
      </c>
      <c r="G8" s="418" t="e">
        <f t="shared" si="1"/>
        <v>#REF!</v>
      </c>
      <c r="H8" s="418">
        <f t="shared" si="1"/>
        <v>3685160</v>
      </c>
      <c r="I8" s="418">
        <f t="shared" si="1"/>
        <v>-21565</v>
      </c>
      <c r="J8" s="418">
        <f t="shared" ref="J8" si="2">SUM(J641)</f>
        <v>3663595</v>
      </c>
      <c r="K8" s="523" t="e">
        <f t="shared" ref="K8" si="3">SUM(K641)</f>
        <v>#REF!</v>
      </c>
      <c r="L8" s="732">
        <f>AVERAGE(J8/H8*100)</f>
        <v>99.414815096223776</v>
      </c>
    </row>
    <row r="9" spans="1:12" s="552" customFormat="1" ht="18.75" thickBot="1" x14ac:dyDescent="0.25">
      <c r="A9" s="852" t="s">
        <v>501</v>
      </c>
      <c r="B9" s="853"/>
      <c r="C9" s="853"/>
      <c r="D9" s="854"/>
      <c r="E9" s="541">
        <f t="shared" ref="E9:H9" si="4">SUM(E12+E28+E59+E69+E75+E81)</f>
        <v>1114522.06</v>
      </c>
      <c r="F9" s="541">
        <f t="shared" si="4"/>
        <v>1613000</v>
      </c>
      <c r="G9" s="541">
        <f t="shared" si="4"/>
        <v>214081.88997279186</v>
      </c>
      <c r="H9" s="541">
        <f t="shared" si="4"/>
        <v>370550</v>
      </c>
      <c r="I9" s="541">
        <f t="shared" ref="I9:K9" si="5">SUM(I12+I28+I59+I69+I75+I81)</f>
        <v>11400</v>
      </c>
      <c r="J9" s="541">
        <f t="shared" si="5"/>
        <v>381950</v>
      </c>
      <c r="K9" s="546">
        <f t="shared" si="5"/>
        <v>2877802.2750000004</v>
      </c>
      <c r="L9" s="726">
        <f>AVERAGE(J9/H9*100)</f>
        <v>103.07650789367158</v>
      </c>
    </row>
    <row r="10" spans="1:12" ht="14.25" x14ac:dyDescent="0.2">
      <c r="A10" s="405"/>
      <c r="B10" s="392"/>
      <c r="C10" s="392"/>
      <c r="D10" s="408" t="s">
        <v>178</v>
      </c>
      <c r="E10" s="393"/>
      <c r="F10" s="394"/>
      <c r="G10" s="394"/>
      <c r="H10" s="394"/>
      <c r="I10" s="394"/>
      <c r="J10" s="394"/>
      <c r="K10" s="525"/>
      <c r="L10" s="862">
        <f>AVERAGE(J12/H12*100)</f>
        <v>98.395130049806312</v>
      </c>
    </row>
    <row r="11" spans="1:12" ht="14.25" x14ac:dyDescent="0.2">
      <c r="A11" s="401"/>
      <c r="B11" s="40"/>
      <c r="C11" s="40"/>
      <c r="D11" s="395" t="s">
        <v>603</v>
      </c>
      <c r="E11" s="379"/>
      <c r="F11" s="372"/>
      <c r="G11" s="372"/>
      <c r="H11" s="372"/>
      <c r="I11" s="372"/>
      <c r="J11" s="372"/>
      <c r="K11" s="526"/>
      <c r="L11" s="844"/>
    </row>
    <row r="12" spans="1:12" s="97" customFormat="1" ht="15.75" x14ac:dyDescent="0.25">
      <c r="A12" s="420"/>
      <c r="B12" s="421"/>
      <c r="C12" s="421"/>
      <c r="D12" s="422" t="s">
        <v>388</v>
      </c>
      <c r="E12" s="423">
        <f t="shared" ref="E12:H12" si="6">SUM(E13+E20)</f>
        <v>524300</v>
      </c>
      <c r="F12" s="424">
        <f t="shared" si="6"/>
        <v>779000</v>
      </c>
      <c r="G12" s="424">
        <f t="shared" si="6"/>
        <v>103391.06775499371</v>
      </c>
      <c r="H12" s="424">
        <f t="shared" si="6"/>
        <v>180700</v>
      </c>
      <c r="I12" s="424">
        <f t="shared" ref="I12:J12" si="7">SUM(I13+I20)</f>
        <v>-2900</v>
      </c>
      <c r="J12" s="424">
        <f t="shared" si="7"/>
        <v>177800</v>
      </c>
      <c r="K12" s="527">
        <f t="shared" ref="K12" si="8">SUM(K13+K20)</f>
        <v>1339634.1000000001</v>
      </c>
      <c r="L12" s="845"/>
    </row>
    <row r="13" spans="1:12" s="28" customFormat="1" ht="15" x14ac:dyDescent="0.25">
      <c r="A13" s="360" t="s">
        <v>389</v>
      </c>
      <c r="B13" s="445"/>
      <c r="C13" s="391">
        <v>31</v>
      </c>
      <c r="D13" s="369" t="s">
        <v>41</v>
      </c>
      <c r="E13" s="381">
        <f t="shared" ref="E13:J13" si="9">SUM(E14+E16+E18)</f>
        <v>482800</v>
      </c>
      <c r="F13" s="381">
        <f t="shared" si="9"/>
        <v>723000</v>
      </c>
      <c r="G13" s="381">
        <f t="shared" si="9"/>
        <v>95958.590483774649</v>
      </c>
      <c r="H13" s="381">
        <f t="shared" si="9"/>
        <v>170700</v>
      </c>
      <c r="I13" s="381">
        <f t="shared" si="9"/>
        <v>-3300</v>
      </c>
      <c r="J13" s="381">
        <f t="shared" si="9"/>
        <v>167400</v>
      </c>
      <c r="K13" s="528">
        <f t="shared" ref="K13" si="10">SUM(K14+K16+K18)</f>
        <v>1261275.3</v>
      </c>
      <c r="L13" s="727">
        <f>AVERAGE(J13/H13*100)</f>
        <v>98.066783831282962</v>
      </c>
    </row>
    <row r="14" spans="1:12" ht="14.25" x14ac:dyDescent="0.2">
      <c r="A14" s="371" t="s">
        <v>389</v>
      </c>
      <c r="B14" s="446"/>
      <c r="C14" s="367">
        <v>311</v>
      </c>
      <c r="D14" s="368" t="s">
        <v>183</v>
      </c>
      <c r="E14" s="363">
        <v>400000</v>
      </c>
      <c r="F14" s="363">
        <f t="shared" ref="F14:K14" si="11">F15</f>
        <v>560000</v>
      </c>
      <c r="G14" s="363">
        <f t="shared" si="11"/>
        <v>74324.772712190592</v>
      </c>
      <c r="H14" s="363">
        <f t="shared" si="11"/>
        <v>137000</v>
      </c>
      <c r="I14" s="363">
        <f t="shared" si="11"/>
        <v>-4500</v>
      </c>
      <c r="J14" s="363">
        <f t="shared" si="11"/>
        <v>132500</v>
      </c>
      <c r="K14" s="529">
        <f t="shared" si="11"/>
        <v>998321.25</v>
      </c>
      <c r="L14" s="384">
        <f t="shared" ref="L14:L25" si="12">AVERAGE(J14/H14*100)</f>
        <v>96.715328467153284</v>
      </c>
    </row>
    <row r="15" spans="1:12" ht="14.25" x14ac:dyDescent="0.2">
      <c r="A15" s="371" t="s">
        <v>389</v>
      </c>
      <c r="B15" s="446"/>
      <c r="C15" s="367">
        <v>3111</v>
      </c>
      <c r="D15" s="368" t="s">
        <v>184</v>
      </c>
      <c r="E15" s="363">
        <v>400000</v>
      </c>
      <c r="F15" s="363">
        <v>560000</v>
      </c>
      <c r="G15" s="363">
        <f>F15/7.5345</f>
        <v>74324.772712190592</v>
      </c>
      <c r="H15" s="363">
        <v>137000</v>
      </c>
      <c r="I15" s="363">
        <v>-4500</v>
      </c>
      <c r="J15" s="363">
        <f>SUM(H15+I15)</f>
        <v>132500</v>
      </c>
      <c r="K15" s="529">
        <f>J15*7.5345</f>
        <v>998321.25</v>
      </c>
      <c r="L15" s="384">
        <f t="shared" si="12"/>
        <v>96.715328467153284</v>
      </c>
    </row>
    <row r="16" spans="1:12" ht="14.25" x14ac:dyDescent="0.2">
      <c r="A16" s="371" t="s">
        <v>389</v>
      </c>
      <c r="B16" s="446"/>
      <c r="C16" s="367">
        <v>312</v>
      </c>
      <c r="D16" s="368" t="s">
        <v>43</v>
      </c>
      <c r="E16" s="363">
        <v>14000</v>
      </c>
      <c r="F16" s="363">
        <f t="shared" ref="F16:G16" si="13">F17</f>
        <v>70000</v>
      </c>
      <c r="G16" s="363">
        <f t="shared" si="13"/>
        <v>9290.596589023824</v>
      </c>
      <c r="H16" s="363">
        <f>H17</f>
        <v>12500</v>
      </c>
      <c r="I16" s="363">
        <f t="shared" ref="I16:J16" si="14">I17</f>
        <v>800</v>
      </c>
      <c r="J16" s="363">
        <f t="shared" si="14"/>
        <v>13300</v>
      </c>
      <c r="K16" s="363">
        <f t="shared" ref="K16" si="15">K17</f>
        <v>100208.85</v>
      </c>
      <c r="L16" s="384">
        <f t="shared" si="12"/>
        <v>106.4</v>
      </c>
    </row>
    <row r="17" spans="1:12" ht="14.25" x14ac:dyDescent="0.2">
      <c r="A17" s="371" t="s">
        <v>389</v>
      </c>
      <c r="B17" s="446"/>
      <c r="C17" s="367">
        <v>3121</v>
      </c>
      <c r="D17" s="368" t="s">
        <v>43</v>
      </c>
      <c r="E17" s="363">
        <v>14000</v>
      </c>
      <c r="F17" s="363">
        <v>70000</v>
      </c>
      <c r="G17" s="363">
        <f>F17/7.5345</f>
        <v>9290.596589023824</v>
      </c>
      <c r="H17" s="363">
        <v>12500</v>
      </c>
      <c r="I17" s="363">
        <v>800</v>
      </c>
      <c r="J17" s="363">
        <f>SUM(H17+I17)</f>
        <v>13300</v>
      </c>
      <c r="K17" s="529">
        <f>J17*7.5345</f>
        <v>100208.85</v>
      </c>
      <c r="L17" s="384">
        <f t="shared" si="12"/>
        <v>106.4</v>
      </c>
    </row>
    <row r="18" spans="1:12" ht="14.25" x14ac:dyDescent="0.2">
      <c r="A18" s="371" t="s">
        <v>389</v>
      </c>
      <c r="B18" s="446"/>
      <c r="C18" s="367">
        <v>313</v>
      </c>
      <c r="D18" s="368" t="s">
        <v>44</v>
      </c>
      <c r="E18" s="363">
        <v>68800</v>
      </c>
      <c r="F18" s="363">
        <f t="shared" ref="F18:K18" si="16">F19</f>
        <v>93000</v>
      </c>
      <c r="G18" s="363">
        <f t="shared" si="16"/>
        <v>12343.221182560223</v>
      </c>
      <c r="H18" s="363">
        <f t="shared" si="16"/>
        <v>21200</v>
      </c>
      <c r="I18" s="363">
        <f t="shared" si="16"/>
        <v>400</v>
      </c>
      <c r="J18" s="363">
        <f t="shared" si="16"/>
        <v>21600</v>
      </c>
      <c r="K18" s="529">
        <f t="shared" si="16"/>
        <v>162745.20000000001</v>
      </c>
      <c r="L18" s="384">
        <f t="shared" si="12"/>
        <v>101.88679245283019</v>
      </c>
    </row>
    <row r="19" spans="1:12" ht="14.25" x14ac:dyDescent="0.2">
      <c r="A19" s="371" t="s">
        <v>389</v>
      </c>
      <c r="B19" s="446"/>
      <c r="C19" s="367">
        <v>3132</v>
      </c>
      <c r="D19" s="368" t="s">
        <v>185</v>
      </c>
      <c r="E19" s="363">
        <v>62000</v>
      </c>
      <c r="F19" s="363">
        <v>93000</v>
      </c>
      <c r="G19" s="363">
        <f>F19/7.5345</f>
        <v>12343.221182560223</v>
      </c>
      <c r="H19" s="363">
        <v>21200</v>
      </c>
      <c r="I19" s="363">
        <v>400</v>
      </c>
      <c r="J19" s="363">
        <f>SUM(H19+I19)</f>
        <v>21600</v>
      </c>
      <c r="K19" s="529">
        <f>J19*7.5345</f>
        <v>162745.20000000001</v>
      </c>
      <c r="L19" s="384">
        <f t="shared" si="12"/>
        <v>101.88679245283019</v>
      </c>
    </row>
    <row r="20" spans="1:12" s="28" customFormat="1" ht="15" x14ac:dyDescent="0.25">
      <c r="A20" s="402" t="s">
        <v>389</v>
      </c>
      <c r="B20" s="447"/>
      <c r="C20" s="354">
        <v>32</v>
      </c>
      <c r="D20" s="365" t="s">
        <v>47</v>
      </c>
      <c r="E20" s="362">
        <v>41500</v>
      </c>
      <c r="F20" s="362">
        <f t="shared" ref="F20:K20" si="17">F21</f>
        <v>56000</v>
      </c>
      <c r="G20" s="362">
        <f t="shared" si="17"/>
        <v>7432.4772712190588</v>
      </c>
      <c r="H20" s="362">
        <f t="shared" si="17"/>
        <v>10000</v>
      </c>
      <c r="I20" s="362">
        <f t="shared" si="17"/>
        <v>400</v>
      </c>
      <c r="J20" s="362">
        <f t="shared" si="17"/>
        <v>10400</v>
      </c>
      <c r="K20" s="530">
        <f t="shared" si="17"/>
        <v>78358.8</v>
      </c>
      <c r="L20" s="727">
        <f t="shared" si="12"/>
        <v>104</v>
      </c>
    </row>
    <row r="21" spans="1:12" ht="14.25" x14ac:dyDescent="0.2">
      <c r="A21" s="371" t="s">
        <v>389</v>
      </c>
      <c r="B21" s="446"/>
      <c r="C21" s="367">
        <v>321</v>
      </c>
      <c r="D21" s="368" t="s">
        <v>48</v>
      </c>
      <c r="E21" s="363">
        <f t="shared" ref="E21:J21" si="18">SUM(E22:E25)</f>
        <v>41500</v>
      </c>
      <c r="F21" s="363">
        <f t="shared" si="18"/>
        <v>56000</v>
      </c>
      <c r="G21" s="363">
        <f t="shared" si="18"/>
        <v>7432.4772712190588</v>
      </c>
      <c r="H21" s="363">
        <f t="shared" si="18"/>
        <v>10000</v>
      </c>
      <c r="I21" s="363">
        <f t="shared" si="18"/>
        <v>400</v>
      </c>
      <c r="J21" s="363">
        <f t="shared" si="18"/>
        <v>10400</v>
      </c>
      <c r="K21" s="529">
        <f t="shared" ref="K21" si="19">SUM(K22:K25)</f>
        <v>78358.8</v>
      </c>
      <c r="L21" s="384">
        <f t="shared" si="12"/>
        <v>104</v>
      </c>
    </row>
    <row r="22" spans="1:12" ht="14.25" x14ac:dyDescent="0.2">
      <c r="A22" s="371" t="s">
        <v>389</v>
      </c>
      <c r="B22" s="446"/>
      <c r="C22" s="367">
        <v>3211</v>
      </c>
      <c r="D22" s="368" t="s">
        <v>49</v>
      </c>
      <c r="E22" s="363">
        <v>7500</v>
      </c>
      <c r="F22" s="363">
        <v>10000</v>
      </c>
      <c r="G22" s="363">
        <f>F22/7.5345</f>
        <v>1327.2280841462605</v>
      </c>
      <c r="H22" s="363">
        <v>2000</v>
      </c>
      <c r="I22" s="363">
        <v>1500</v>
      </c>
      <c r="J22" s="363">
        <f>SUM(H22+I22)</f>
        <v>3500</v>
      </c>
      <c r="K22" s="529">
        <f>J22*7.5345</f>
        <v>26370.75</v>
      </c>
      <c r="L22" s="384">
        <f t="shared" si="12"/>
        <v>175</v>
      </c>
    </row>
    <row r="23" spans="1:12" ht="14.25" x14ac:dyDescent="0.2">
      <c r="A23" s="371" t="s">
        <v>389</v>
      </c>
      <c r="B23" s="446"/>
      <c r="C23" s="367">
        <v>3212</v>
      </c>
      <c r="D23" s="368" t="s">
        <v>50</v>
      </c>
      <c r="E23" s="363">
        <v>18000</v>
      </c>
      <c r="F23" s="363">
        <v>30000</v>
      </c>
      <c r="G23" s="363">
        <f>F23/7.5345</f>
        <v>3981.6842524387812</v>
      </c>
      <c r="H23" s="363">
        <v>5000</v>
      </c>
      <c r="I23" s="363">
        <v>-1400</v>
      </c>
      <c r="J23" s="363">
        <f t="shared" ref="J23:J25" si="20">SUM(H23+I23)</f>
        <v>3600</v>
      </c>
      <c r="K23" s="529">
        <f>J23*7.5345</f>
        <v>27124.2</v>
      </c>
      <c r="L23" s="384">
        <f t="shared" si="12"/>
        <v>72</v>
      </c>
    </row>
    <row r="24" spans="1:12" ht="14.25" x14ac:dyDescent="0.2">
      <c r="A24" s="371" t="s">
        <v>389</v>
      </c>
      <c r="B24" s="446"/>
      <c r="C24" s="367">
        <v>3213</v>
      </c>
      <c r="D24" s="368" t="s">
        <v>51</v>
      </c>
      <c r="E24" s="363">
        <v>10000</v>
      </c>
      <c r="F24" s="363">
        <v>10000</v>
      </c>
      <c r="G24" s="363">
        <f>F24/7.5345</f>
        <v>1327.2280841462605</v>
      </c>
      <c r="H24" s="363">
        <v>2000</v>
      </c>
      <c r="I24" s="363">
        <v>300</v>
      </c>
      <c r="J24" s="363">
        <f t="shared" si="20"/>
        <v>2300</v>
      </c>
      <c r="K24" s="529">
        <f>J24*7.5345</f>
        <v>17329.350000000002</v>
      </c>
      <c r="L24" s="384">
        <f t="shared" si="12"/>
        <v>114.99999999999999</v>
      </c>
    </row>
    <row r="25" spans="1:12" s="390" customFormat="1" ht="15" thickBot="1" x14ac:dyDescent="0.25">
      <c r="A25" s="403" t="s">
        <v>389</v>
      </c>
      <c r="B25" s="448"/>
      <c r="C25" s="386">
        <v>3214</v>
      </c>
      <c r="D25" s="387" t="s">
        <v>187</v>
      </c>
      <c r="E25" s="388">
        <v>6000</v>
      </c>
      <c r="F25" s="388">
        <v>6000</v>
      </c>
      <c r="G25" s="388">
        <f>F25/7.5345</f>
        <v>796.33685048775624</v>
      </c>
      <c r="H25" s="388">
        <v>1000</v>
      </c>
      <c r="I25" s="388">
        <v>0</v>
      </c>
      <c r="J25" s="363">
        <f t="shared" si="20"/>
        <v>1000</v>
      </c>
      <c r="K25" s="531">
        <f>J25*7.5345</f>
        <v>7534.5</v>
      </c>
      <c r="L25" s="384">
        <f t="shared" si="12"/>
        <v>100</v>
      </c>
    </row>
    <row r="26" spans="1:12" ht="15" thickTop="1" x14ac:dyDescent="0.2">
      <c r="A26" s="401"/>
      <c r="B26" s="40"/>
      <c r="C26" s="40"/>
      <c r="D26" s="395" t="s">
        <v>178</v>
      </c>
      <c r="E26" s="385"/>
      <c r="F26" s="526"/>
      <c r="G26" s="526"/>
      <c r="H26" s="372"/>
      <c r="I26" s="372"/>
      <c r="J26" s="372"/>
      <c r="K26" s="526"/>
      <c r="L26" s="843">
        <f>AVERAGE(J28/H28*100)</f>
        <v>136.20760114425826</v>
      </c>
    </row>
    <row r="27" spans="1:12" ht="14.25" x14ac:dyDescent="0.2">
      <c r="A27" s="401"/>
      <c r="B27" s="40"/>
      <c r="C27" s="40"/>
      <c r="D27" s="396" t="s">
        <v>604</v>
      </c>
      <c r="E27" s="379"/>
      <c r="F27" s="372"/>
      <c r="G27" s="372"/>
      <c r="H27" s="372"/>
      <c r="I27" s="372"/>
      <c r="J27" s="372"/>
      <c r="K27" s="526"/>
      <c r="L27" s="844"/>
    </row>
    <row r="28" spans="1:12" s="97" customFormat="1" ht="15.75" x14ac:dyDescent="0.25">
      <c r="A28" s="420"/>
      <c r="B28" s="421"/>
      <c r="C28" s="421"/>
      <c r="D28" s="422" t="s">
        <v>416</v>
      </c>
      <c r="E28" s="423">
        <f t="shared" ref="E28:H28" si="21">SUM(E29+E52)</f>
        <v>424222.06</v>
      </c>
      <c r="F28" s="424">
        <f t="shared" si="21"/>
        <v>726500</v>
      </c>
      <c r="G28" s="424">
        <f t="shared" si="21"/>
        <v>96423.120313225838</v>
      </c>
      <c r="H28" s="424">
        <f t="shared" si="21"/>
        <v>122350</v>
      </c>
      <c r="I28" s="424">
        <f t="shared" ref="I28:J28" si="22">SUM(I29+I52)</f>
        <v>44300</v>
      </c>
      <c r="J28" s="424">
        <f t="shared" si="22"/>
        <v>166650</v>
      </c>
      <c r="K28" s="527">
        <f t="shared" ref="K28" si="23">SUM(K29+K52)</f>
        <v>1255624.4250000003</v>
      </c>
      <c r="L28" s="845"/>
    </row>
    <row r="29" spans="1:12" s="28" customFormat="1" ht="15" x14ac:dyDescent="0.25">
      <c r="A29" s="360" t="s">
        <v>390</v>
      </c>
      <c r="B29" s="445"/>
      <c r="C29" s="391">
        <v>32</v>
      </c>
      <c r="D29" s="369" t="s">
        <v>47</v>
      </c>
      <c r="E29" s="381">
        <f t="shared" ref="E29:H29" si="24">SUM(E30+E36+E45+E47)</f>
        <v>407022.06</v>
      </c>
      <c r="F29" s="381">
        <f t="shared" si="24"/>
        <v>691500</v>
      </c>
      <c r="G29" s="381">
        <f t="shared" si="24"/>
        <v>91777.822018713923</v>
      </c>
      <c r="H29" s="381">
        <f t="shared" si="24"/>
        <v>117750</v>
      </c>
      <c r="I29" s="381">
        <f t="shared" ref="I29:J29" si="25">SUM(I30+I36+I45+I47)</f>
        <v>46100</v>
      </c>
      <c r="J29" s="381">
        <f t="shared" si="25"/>
        <v>163850</v>
      </c>
      <c r="K29" s="528">
        <f t="shared" ref="K29" si="26">SUM(K30+K36+K45+K47)</f>
        <v>1234527.8250000002</v>
      </c>
      <c r="L29" s="727">
        <f>AVERAGE(J29/H29*100)</f>
        <v>139.15074309978769</v>
      </c>
    </row>
    <row r="30" spans="1:12" ht="14.25" x14ac:dyDescent="0.2">
      <c r="A30" s="371" t="s">
        <v>390</v>
      </c>
      <c r="B30" s="446"/>
      <c r="C30" s="367">
        <v>322</v>
      </c>
      <c r="D30" s="368" t="s">
        <v>52</v>
      </c>
      <c r="E30" s="363">
        <f t="shared" ref="E30:J30" si="27">SUM(E31:E35)</f>
        <v>83022.06</v>
      </c>
      <c r="F30" s="363">
        <f t="shared" si="27"/>
        <v>112000</v>
      </c>
      <c r="G30" s="363">
        <f t="shared" si="27"/>
        <v>14864.954542438118</v>
      </c>
      <c r="H30" s="363">
        <f t="shared" si="27"/>
        <v>16250</v>
      </c>
      <c r="I30" s="363">
        <f t="shared" si="27"/>
        <v>-1850</v>
      </c>
      <c r="J30" s="363">
        <f t="shared" si="27"/>
        <v>14400</v>
      </c>
      <c r="K30" s="529">
        <f t="shared" ref="K30" si="28">SUM(K31:K35)</f>
        <v>108496.8</v>
      </c>
      <c r="L30" s="384">
        <f t="shared" ref="L30:L56" si="29">AVERAGE(J30/H30*100)</f>
        <v>88.615384615384613</v>
      </c>
    </row>
    <row r="31" spans="1:12" ht="14.25" x14ac:dyDescent="0.2">
      <c r="A31" s="371" t="s">
        <v>390</v>
      </c>
      <c r="B31" s="446"/>
      <c r="C31" s="367">
        <v>3221</v>
      </c>
      <c r="D31" s="368" t="s">
        <v>53</v>
      </c>
      <c r="E31" s="363">
        <v>16000</v>
      </c>
      <c r="F31" s="363">
        <v>25000</v>
      </c>
      <c r="G31" s="363">
        <f>F31/7.5345</f>
        <v>3318.0702103656513</v>
      </c>
      <c r="H31" s="363">
        <v>4000</v>
      </c>
      <c r="I31" s="363">
        <v>-1100</v>
      </c>
      <c r="J31" s="363">
        <f>SUM(H31+I31)</f>
        <v>2900</v>
      </c>
      <c r="K31" s="529">
        <f>J31*7.5345</f>
        <v>21850.050000000003</v>
      </c>
      <c r="L31" s="384">
        <f t="shared" si="29"/>
        <v>72.5</v>
      </c>
    </row>
    <row r="32" spans="1:12" ht="14.25" x14ac:dyDescent="0.2">
      <c r="A32" s="371" t="s">
        <v>390</v>
      </c>
      <c r="B32" s="446"/>
      <c r="C32" s="367">
        <v>3223</v>
      </c>
      <c r="D32" s="368" t="s">
        <v>54</v>
      </c>
      <c r="E32" s="363">
        <v>50000</v>
      </c>
      <c r="F32" s="363">
        <v>70000</v>
      </c>
      <c r="G32" s="363">
        <f>F32/7.5345</f>
        <v>9290.596589023824</v>
      </c>
      <c r="H32" s="363">
        <v>9500</v>
      </c>
      <c r="I32" s="363">
        <v>-500</v>
      </c>
      <c r="J32" s="363">
        <f t="shared" ref="J32:J35" si="30">SUM(H32+I32)</f>
        <v>9000</v>
      </c>
      <c r="K32" s="529">
        <f>J32*7.5345</f>
        <v>67810.5</v>
      </c>
      <c r="L32" s="384">
        <f t="shared" si="29"/>
        <v>94.73684210526315</v>
      </c>
    </row>
    <row r="33" spans="1:12" ht="14.25" x14ac:dyDescent="0.2">
      <c r="A33" s="371" t="s">
        <v>390</v>
      </c>
      <c r="B33" s="446"/>
      <c r="C33" s="367">
        <v>3224</v>
      </c>
      <c r="D33" s="368" t="s">
        <v>189</v>
      </c>
      <c r="E33" s="363">
        <v>0</v>
      </c>
      <c r="F33" s="363">
        <v>2000</v>
      </c>
      <c r="G33" s="363">
        <f>F33/7.5345</f>
        <v>265.44561682925212</v>
      </c>
      <c r="H33" s="363">
        <v>250</v>
      </c>
      <c r="I33" s="363">
        <v>-250</v>
      </c>
      <c r="J33" s="363">
        <f t="shared" si="30"/>
        <v>0</v>
      </c>
      <c r="K33" s="529">
        <f>J33*7.5345</f>
        <v>0</v>
      </c>
      <c r="L33" s="384">
        <f t="shared" si="29"/>
        <v>0</v>
      </c>
    </row>
    <row r="34" spans="1:12" ht="14.25" x14ac:dyDescent="0.2">
      <c r="A34" s="371" t="s">
        <v>390</v>
      </c>
      <c r="B34" s="446"/>
      <c r="C34" s="367">
        <v>3225</v>
      </c>
      <c r="D34" s="368" t="s">
        <v>190</v>
      </c>
      <c r="E34" s="363">
        <v>15022.06</v>
      </c>
      <c r="F34" s="363">
        <v>15000</v>
      </c>
      <c r="G34" s="363">
        <f>F34/7.5345</f>
        <v>1990.8421262193906</v>
      </c>
      <c r="H34" s="363">
        <v>2000</v>
      </c>
      <c r="I34" s="363">
        <v>500</v>
      </c>
      <c r="J34" s="363">
        <f t="shared" si="30"/>
        <v>2500</v>
      </c>
      <c r="K34" s="529">
        <f>J34*7.5345</f>
        <v>18836.25</v>
      </c>
      <c r="L34" s="384">
        <f t="shared" si="29"/>
        <v>125</v>
      </c>
    </row>
    <row r="35" spans="1:12" ht="14.25" x14ac:dyDescent="0.2">
      <c r="A35" s="371" t="s">
        <v>390</v>
      </c>
      <c r="B35" s="446"/>
      <c r="C35" s="367">
        <v>3227</v>
      </c>
      <c r="D35" s="368" t="s">
        <v>391</v>
      </c>
      <c r="E35" s="363">
        <v>2000</v>
      </c>
      <c r="F35" s="363">
        <v>0</v>
      </c>
      <c r="G35" s="363">
        <v>0</v>
      </c>
      <c r="H35" s="363">
        <v>500</v>
      </c>
      <c r="I35" s="363">
        <v>-500</v>
      </c>
      <c r="J35" s="363">
        <f t="shared" si="30"/>
        <v>0</v>
      </c>
      <c r="K35" s="529">
        <v>0</v>
      </c>
      <c r="L35" s="384">
        <f t="shared" si="29"/>
        <v>0</v>
      </c>
    </row>
    <row r="36" spans="1:12" ht="14.25" x14ac:dyDescent="0.2">
      <c r="A36" s="371" t="s">
        <v>390</v>
      </c>
      <c r="B36" s="446"/>
      <c r="C36" s="367">
        <v>323</v>
      </c>
      <c r="D36" s="368" t="s">
        <v>56</v>
      </c>
      <c r="E36" s="363">
        <f t="shared" ref="E36:J36" si="31">SUM(E37:E44)</f>
        <v>269000</v>
      </c>
      <c r="F36" s="363">
        <f t="shared" si="31"/>
        <v>449500</v>
      </c>
      <c r="G36" s="363">
        <f t="shared" si="31"/>
        <v>59658.902382374406</v>
      </c>
      <c r="H36" s="363">
        <f t="shared" si="31"/>
        <v>77500</v>
      </c>
      <c r="I36" s="363">
        <f t="shared" si="31"/>
        <v>52650</v>
      </c>
      <c r="J36" s="363">
        <f t="shared" si="31"/>
        <v>130150</v>
      </c>
      <c r="K36" s="529">
        <f t="shared" ref="K36" si="32">SUM(K37:K44)</f>
        <v>980615.17500000005</v>
      </c>
      <c r="L36" s="384">
        <f t="shared" si="29"/>
        <v>167.93548387096774</v>
      </c>
    </row>
    <row r="37" spans="1:12" ht="14.25" x14ac:dyDescent="0.2">
      <c r="A37" s="371" t="s">
        <v>390</v>
      </c>
      <c r="B37" s="446"/>
      <c r="C37" s="367">
        <v>3231</v>
      </c>
      <c r="D37" s="368" t="s">
        <v>57</v>
      </c>
      <c r="E37" s="363">
        <v>30000</v>
      </c>
      <c r="F37" s="363">
        <v>45000</v>
      </c>
      <c r="G37" s="363">
        <f t="shared" ref="G37:G44" si="33">F37/7.5345</f>
        <v>5972.5263786581718</v>
      </c>
      <c r="H37" s="363">
        <v>6000</v>
      </c>
      <c r="I37" s="363">
        <v>500</v>
      </c>
      <c r="J37" s="363">
        <f>SUM(H37+I37)</f>
        <v>6500</v>
      </c>
      <c r="K37" s="529">
        <f t="shared" ref="K37:K44" si="34">J37*7.5345</f>
        <v>48974.25</v>
      </c>
      <c r="L37" s="384">
        <f t="shared" si="29"/>
        <v>108.33333333333333</v>
      </c>
    </row>
    <row r="38" spans="1:12" ht="14.25" x14ac:dyDescent="0.2">
      <c r="A38" s="371" t="s">
        <v>390</v>
      </c>
      <c r="B38" s="446"/>
      <c r="C38" s="367">
        <v>3232</v>
      </c>
      <c r="D38" s="368" t="s">
        <v>392</v>
      </c>
      <c r="E38" s="363">
        <v>5000</v>
      </c>
      <c r="F38" s="363">
        <v>7000</v>
      </c>
      <c r="G38" s="363">
        <f t="shared" si="33"/>
        <v>929.05965890238235</v>
      </c>
      <c r="H38" s="363">
        <v>1500</v>
      </c>
      <c r="I38" s="363">
        <v>-100</v>
      </c>
      <c r="J38" s="363">
        <f t="shared" ref="J38:J44" si="35">SUM(H38+I38)</f>
        <v>1400</v>
      </c>
      <c r="K38" s="529">
        <f t="shared" si="34"/>
        <v>10548.300000000001</v>
      </c>
      <c r="L38" s="384">
        <f t="shared" si="29"/>
        <v>93.333333333333329</v>
      </c>
    </row>
    <row r="39" spans="1:12" ht="14.25" x14ac:dyDescent="0.2">
      <c r="A39" s="371" t="s">
        <v>390</v>
      </c>
      <c r="B39" s="446"/>
      <c r="C39" s="367">
        <v>3233</v>
      </c>
      <c r="D39" s="368" t="s">
        <v>59</v>
      </c>
      <c r="E39" s="363">
        <v>25000</v>
      </c>
      <c r="F39" s="363">
        <v>25000</v>
      </c>
      <c r="G39" s="363">
        <f t="shared" si="33"/>
        <v>3318.0702103656513</v>
      </c>
      <c r="H39" s="363">
        <v>8000</v>
      </c>
      <c r="I39" s="363">
        <v>7500</v>
      </c>
      <c r="J39" s="363">
        <f t="shared" si="35"/>
        <v>15500</v>
      </c>
      <c r="K39" s="529">
        <f t="shared" si="34"/>
        <v>116784.75</v>
      </c>
      <c r="L39" s="384">
        <f t="shared" si="29"/>
        <v>193.75</v>
      </c>
    </row>
    <row r="40" spans="1:12" ht="14.25" x14ac:dyDescent="0.2">
      <c r="A40" s="371" t="s">
        <v>390</v>
      </c>
      <c r="B40" s="446"/>
      <c r="C40" s="367">
        <v>3234</v>
      </c>
      <c r="D40" s="368" t="s">
        <v>60</v>
      </c>
      <c r="E40" s="363">
        <v>15000</v>
      </c>
      <c r="F40" s="363">
        <v>40000</v>
      </c>
      <c r="G40" s="363">
        <f t="shared" si="33"/>
        <v>5308.9123365850419</v>
      </c>
      <c r="H40" s="363">
        <v>8000</v>
      </c>
      <c r="I40" s="363">
        <v>1000</v>
      </c>
      <c r="J40" s="363">
        <f t="shared" si="35"/>
        <v>9000</v>
      </c>
      <c r="K40" s="529">
        <f t="shared" si="34"/>
        <v>67810.5</v>
      </c>
      <c r="L40" s="384">
        <f t="shared" si="29"/>
        <v>112.5</v>
      </c>
    </row>
    <row r="41" spans="1:12" ht="14.25" x14ac:dyDescent="0.2">
      <c r="A41" s="371" t="s">
        <v>390</v>
      </c>
      <c r="B41" s="446"/>
      <c r="C41" s="367">
        <v>3236</v>
      </c>
      <c r="D41" s="368" t="s">
        <v>393</v>
      </c>
      <c r="E41" s="363">
        <v>2000</v>
      </c>
      <c r="F41" s="363">
        <v>7500</v>
      </c>
      <c r="G41" s="363">
        <f t="shared" si="33"/>
        <v>995.4210631096953</v>
      </c>
      <c r="H41" s="612">
        <v>1500</v>
      </c>
      <c r="I41" s="612">
        <v>-1250</v>
      </c>
      <c r="J41" s="363">
        <f t="shared" si="35"/>
        <v>250</v>
      </c>
      <c r="K41" s="529">
        <f t="shared" si="34"/>
        <v>1883.625</v>
      </c>
      <c r="L41" s="384">
        <f t="shared" si="29"/>
        <v>16.666666666666664</v>
      </c>
    </row>
    <row r="42" spans="1:12" ht="14.25" x14ac:dyDescent="0.2">
      <c r="A42" s="371" t="s">
        <v>390</v>
      </c>
      <c r="B42" s="446"/>
      <c r="C42" s="367">
        <v>3237</v>
      </c>
      <c r="D42" s="368" t="s">
        <v>62</v>
      </c>
      <c r="E42" s="363">
        <v>140000</v>
      </c>
      <c r="F42" s="363">
        <v>200000</v>
      </c>
      <c r="G42" s="363">
        <f t="shared" si="33"/>
        <v>26544.56168292521</v>
      </c>
      <c r="H42" s="363">
        <v>35000</v>
      </c>
      <c r="I42" s="363">
        <v>39000</v>
      </c>
      <c r="J42" s="363">
        <f t="shared" si="35"/>
        <v>74000</v>
      </c>
      <c r="K42" s="529">
        <f t="shared" si="34"/>
        <v>557553</v>
      </c>
      <c r="L42" s="384">
        <f t="shared" si="29"/>
        <v>211.42857142857144</v>
      </c>
    </row>
    <row r="43" spans="1:12" ht="14.25" x14ac:dyDescent="0.2">
      <c r="A43" s="371" t="s">
        <v>390</v>
      </c>
      <c r="B43" s="446"/>
      <c r="C43" s="367">
        <v>3238</v>
      </c>
      <c r="D43" s="368" t="s">
        <v>63</v>
      </c>
      <c r="E43" s="363">
        <v>12000</v>
      </c>
      <c r="F43" s="363">
        <v>25000</v>
      </c>
      <c r="G43" s="363">
        <f t="shared" si="33"/>
        <v>3318.0702103656513</v>
      </c>
      <c r="H43" s="363">
        <v>4000</v>
      </c>
      <c r="I43" s="363">
        <v>0</v>
      </c>
      <c r="J43" s="363">
        <f t="shared" si="35"/>
        <v>4000</v>
      </c>
      <c r="K43" s="529">
        <f t="shared" si="34"/>
        <v>30138</v>
      </c>
      <c r="L43" s="384">
        <f t="shared" si="29"/>
        <v>100</v>
      </c>
    </row>
    <row r="44" spans="1:12" ht="14.25" x14ac:dyDescent="0.2">
      <c r="A44" s="371" t="s">
        <v>390</v>
      </c>
      <c r="B44" s="446"/>
      <c r="C44" s="367">
        <v>3239</v>
      </c>
      <c r="D44" s="368" t="s">
        <v>64</v>
      </c>
      <c r="E44" s="363">
        <v>40000</v>
      </c>
      <c r="F44" s="363">
        <v>100000</v>
      </c>
      <c r="G44" s="363">
        <f t="shared" si="33"/>
        <v>13272.280841462605</v>
      </c>
      <c r="H44" s="363">
        <v>13500</v>
      </c>
      <c r="I44" s="363">
        <v>6000</v>
      </c>
      <c r="J44" s="363">
        <f t="shared" si="35"/>
        <v>19500</v>
      </c>
      <c r="K44" s="529">
        <f t="shared" si="34"/>
        <v>146922.75</v>
      </c>
      <c r="L44" s="384">
        <f t="shared" si="29"/>
        <v>144.44444444444443</v>
      </c>
    </row>
    <row r="45" spans="1:12" ht="14.25" x14ac:dyDescent="0.2">
      <c r="A45" s="371" t="s">
        <v>390</v>
      </c>
      <c r="B45" s="446"/>
      <c r="C45" s="367">
        <v>324</v>
      </c>
      <c r="D45" s="368" t="s">
        <v>142</v>
      </c>
      <c r="E45" s="363">
        <v>5000</v>
      </c>
      <c r="F45" s="363">
        <f t="shared" ref="F45:K45" si="36">SUM(F46)</f>
        <v>35000</v>
      </c>
      <c r="G45" s="363">
        <f t="shared" si="36"/>
        <v>4645.298294511912</v>
      </c>
      <c r="H45" s="363">
        <f t="shared" si="36"/>
        <v>6500</v>
      </c>
      <c r="I45" s="363">
        <f t="shared" si="36"/>
        <v>1500</v>
      </c>
      <c r="J45" s="363">
        <f t="shared" si="36"/>
        <v>8000</v>
      </c>
      <c r="K45" s="529">
        <f t="shared" si="36"/>
        <v>60276</v>
      </c>
      <c r="L45" s="384">
        <f t="shared" si="29"/>
        <v>123.07692307692308</v>
      </c>
    </row>
    <row r="46" spans="1:12" ht="14.25" x14ac:dyDescent="0.2">
      <c r="A46" s="371" t="s">
        <v>390</v>
      </c>
      <c r="B46" s="446"/>
      <c r="C46" s="367">
        <v>3241</v>
      </c>
      <c r="D46" s="368" t="s">
        <v>142</v>
      </c>
      <c r="E46" s="363">
        <v>5000</v>
      </c>
      <c r="F46" s="363">
        <v>35000</v>
      </c>
      <c r="G46" s="363">
        <f>F46/7.5345</f>
        <v>4645.298294511912</v>
      </c>
      <c r="H46" s="363">
        <v>6500</v>
      </c>
      <c r="I46" s="363">
        <v>1500</v>
      </c>
      <c r="J46" s="363">
        <f>SUM(H46+I46)</f>
        <v>8000</v>
      </c>
      <c r="K46" s="529">
        <f>J46*7.5345</f>
        <v>60276</v>
      </c>
      <c r="L46" s="384">
        <f t="shared" si="29"/>
        <v>123.07692307692308</v>
      </c>
    </row>
    <row r="47" spans="1:12" ht="14.25" x14ac:dyDescent="0.2">
      <c r="A47" s="371" t="s">
        <v>390</v>
      </c>
      <c r="B47" s="446"/>
      <c r="C47" s="367">
        <v>329</v>
      </c>
      <c r="D47" s="368" t="s">
        <v>65</v>
      </c>
      <c r="E47" s="363">
        <f t="shared" ref="E47:J47" si="37">SUM(E48:E51)</f>
        <v>50000</v>
      </c>
      <c r="F47" s="363">
        <f t="shared" si="37"/>
        <v>95000</v>
      </c>
      <c r="G47" s="363">
        <f t="shared" si="37"/>
        <v>12608.666799389473</v>
      </c>
      <c r="H47" s="363">
        <f t="shared" si="37"/>
        <v>17500</v>
      </c>
      <c r="I47" s="363">
        <f t="shared" si="37"/>
        <v>-6200</v>
      </c>
      <c r="J47" s="363">
        <f t="shared" si="37"/>
        <v>11300</v>
      </c>
      <c r="K47" s="529">
        <f t="shared" ref="K47" si="38">SUM(K48:K51)</f>
        <v>85139.85</v>
      </c>
      <c r="L47" s="384">
        <f t="shared" si="29"/>
        <v>64.571428571428569</v>
      </c>
    </row>
    <row r="48" spans="1:12" ht="14.25" x14ac:dyDescent="0.2">
      <c r="A48" s="371" t="s">
        <v>390</v>
      </c>
      <c r="B48" s="446"/>
      <c r="C48" s="367">
        <v>3292</v>
      </c>
      <c r="D48" s="368" t="s">
        <v>67</v>
      </c>
      <c r="E48" s="363">
        <v>20000</v>
      </c>
      <c r="F48" s="363">
        <v>15000</v>
      </c>
      <c r="G48" s="363">
        <f>F48/7.5345</f>
        <v>1990.8421262193906</v>
      </c>
      <c r="H48" s="363">
        <v>4000</v>
      </c>
      <c r="I48" s="363">
        <v>-2700</v>
      </c>
      <c r="J48" s="363">
        <f>SUM(H48+I48)</f>
        <v>1300</v>
      </c>
      <c r="K48" s="529">
        <f>J48*7.5345</f>
        <v>9794.85</v>
      </c>
      <c r="L48" s="384">
        <f t="shared" si="29"/>
        <v>32.5</v>
      </c>
    </row>
    <row r="49" spans="1:12" ht="14.25" x14ac:dyDescent="0.2">
      <c r="A49" s="371" t="s">
        <v>390</v>
      </c>
      <c r="B49" s="446"/>
      <c r="C49" s="367">
        <v>3293</v>
      </c>
      <c r="D49" s="368" t="s">
        <v>68</v>
      </c>
      <c r="E49" s="363">
        <v>10000</v>
      </c>
      <c r="F49" s="363">
        <v>20000</v>
      </c>
      <c r="G49" s="363">
        <f>F49/7.5345</f>
        <v>2654.4561682925209</v>
      </c>
      <c r="H49" s="612">
        <v>5000</v>
      </c>
      <c r="I49" s="612">
        <v>-4000</v>
      </c>
      <c r="J49" s="363">
        <f t="shared" ref="J49:J51" si="39">SUM(H49+I49)</f>
        <v>1000</v>
      </c>
      <c r="K49" s="529">
        <f>J49*7.5345</f>
        <v>7534.5</v>
      </c>
      <c r="L49" s="384">
        <f t="shared" si="29"/>
        <v>20</v>
      </c>
    </row>
    <row r="50" spans="1:12" ht="28.5" x14ac:dyDescent="0.2">
      <c r="A50" s="371" t="s">
        <v>390</v>
      </c>
      <c r="B50" s="446"/>
      <c r="C50" s="367">
        <v>3295</v>
      </c>
      <c r="D50" s="368" t="s">
        <v>697</v>
      </c>
      <c r="E50" s="363">
        <v>10000</v>
      </c>
      <c r="F50" s="363">
        <v>50000</v>
      </c>
      <c r="G50" s="363">
        <f>F50/7.5345</f>
        <v>6636.1404207313026</v>
      </c>
      <c r="H50" s="363">
        <v>7000</v>
      </c>
      <c r="I50" s="363">
        <v>700</v>
      </c>
      <c r="J50" s="363">
        <f t="shared" si="39"/>
        <v>7700</v>
      </c>
      <c r="K50" s="529">
        <f>J50*7.5345</f>
        <v>58015.65</v>
      </c>
      <c r="L50" s="384">
        <f t="shared" si="29"/>
        <v>110.00000000000001</v>
      </c>
    </row>
    <row r="51" spans="1:12" ht="14.25" x14ac:dyDescent="0.2">
      <c r="A51" s="371" t="s">
        <v>390</v>
      </c>
      <c r="B51" s="446"/>
      <c r="C51" s="367">
        <v>3299</v>
      </c>
      <c r="D51" s="368" t="s">
        <v>65</v>
      </c>
      <c r="E51" s="363">
        <v>10000</v>
      </c>
      <c r="F51" s="363">
        <v>10000</v>
      </c>
      <c r="G51" s="363">
        <f>F51/7.5345</f>
        <v>1327.2280841462605</v>
      </c>
      <c r="H51" s="363">
        <v>1500</v>
      </c>
      <c r="I51" s="363">
        <v>-200</v>
      </c>
      <c r="J51" s="363">
        <f t="shared" si="39"/>
        <v>1300</v>
      </c>
      <c r="K51" s="529">
        <f>J51*7.5345</f>
        <v>9794.85</v>
      </c>
      <c r="L51" s="384">
        <f t="shared" si="29"/>
        <v>86.666666666666671</v>
      </c>
    </row>
    <row r="52" spans="1:12" s="28" customFormat="1" ht="15" x14ac:dyDescent="0.25">
      <c r="A52" s="402" t="s">
        <v>390</v>
      </c>
      <c r="B52" s="447"/>
      <c r="C52" s="354">
        <v>34</v>
      </c>
      <c r="D52" s="365" t="s">
        <v>70</v>
      </c>
      <c r="E52" s="362">
        <v>17200</v>
      </c>
      <c r="F52" s="362">
        <f t="shared" ref="F52:K52" si="40">F53</f>
        <v>35000</v>
      </c>
      <c r="G52" s="362">
        <f t="shared" si="40"/>
        <v>4645.2982945119111</v>
      </c>
      <c r="H52" s="362">
        <f t="shared" si="40"/>
        <v>4600</v>
      </c>
      <c r="I52" s="362">
        <f t="shared" si="40"/>
        <v>-1800</v>
      </c>
      <c r="J52" s="362">
        <f t="shared" si="40"/>
        <v>2800</v>
      </c>
      <c r="K52" s="530">
        <f t="shared" si="40"/>
        <v>21096.600000000002</v>
      </c>
      <c r="L52" s="727">
        <f t="shared" si="29"/>
        <v>60.869565217391312</v>
      </c>
    </row>
    <row r="53" spans="1:12" ht="12.6" customHeight="1" x14ac:dyDescent="0.2">
      <c r="A53" s="371" t="s">
        <v>390</v>
      </c>
      <c r="B53" s="446"/>
      <c r="C53" s="367">
        <v>343</v>
      </c>
      <c r="D53" s="368" t="s">
        <v>71</v>
      </c>
      <c r="E53" s="363">
        <f t="shared" ref="E53:J53" si="41">SUM(E54:E56)</f>
        <v>17200</v>
      </c>
      <c r="F53" s="363">
        <f t="shared" si="41"/>
        <v>35000</v>
      </c>
      <c r="G53" s="363">
        <f t="shared" si="41"/>
        <v>4645.2982945119111</v>
      </c>
      <c r="H53" s="363">
        <f t="shared" si="41"/>
        <v>4600</v>
      </c>
      <c r="I53" s="363">
        <f t="shared" si="41"/>
        <v>-1800</v>
      </c>
      <c r="J53" s="363">
        <f t="shared" si="41"/>
        <v>2800</v>
      </c>
      <c r="K53" s="529">
        <f t="shared" ref="K53" si="42">SUM(K54:K56)</f>
        <v>21096.600000000002</v>
      </c>
      <c r="L53" s="384">
        <f t="shared" si="29"/>
        <v>60.869565217391312</v>
      </c>
    </row>
    <row r="54" spans="1:12" ht="14.25" x14ac:dyDescent="0.2">
      <c r="A54" s="371" t="s">
        <v>390</v>
      </c>
      <c r="B54" s="446"/>
      <c r="C54" s="367">
        <v>3431</v>
      </c>
      <c r="D54" s="368" t="s">
        <v>72</v>
      </c>
      <c r="E54" s="363">
        <v>12000</v>
      </c>
      <c r="F54" s="363">
        <v>20000</v>
      </c>
      <c r="G54" s="363">
        <f>F54/7.5345</f>
        <v>2654.4561682925209</v>
      </c>
      <c r="H54" s="363">
        <v>2500</v>
      </c>
      <c r="I54" s="363">
        <v>-200</v>
      </c>
      <c r="J54" s="363">
        <f>SUM(H54+I54)</f>
        <v>2300</v>
      </c>
      <c r="K54" s="529">
        <f>J54*7.5345</f>
        <v>17329.350000000002</v>
      </c>
      <c r="L54" s="384">
        <f t="shared" si="29"/>
        <v>92</v>
      </c>
    </row>
    <row r="55" spans="1:12" ht="14.25" x14ac:dyDescent="0.2">
      <c r="A55" s="371" t="s">
        <v>390</v>
      </c>
      <c r="B55" s="446"/>
      <c r="C55" s="367">
        <v>3433</v>
      </c>
      <c r="D55" s="368" t="s">
        <v>73</v>
      </c>
      <c r="E55" s="363">
        <v>200</v>
      </c>
      <c r="F55" s="363">
        <v>10000</v>
      </c>
      <c r="G55" s="363">
        <f>F55/7.5345</f>
        <v>1327.2280841462605</v>
      </c>
      <c r="H55" s="363">
        <v>1400</v>
      </c>
      <c r="I55" s="363">
        <v>-1400</v>
      </c>
      <c r="J55" s="363">
        <f t="shared" ref="J55:J56" si="43">SUM(H55+I55)</f>
        <v>0</v>
      </c>
      <c r="K55" s="529">
        <f>J55*7.5345</f>
        <v>0</v>
      </c>
      <c r="L55" s="384">
        <f t="shared" si="29"/>
        <v>0</v>
      </c>
    </row>
    <row r="56" spans="1:12" s="390" customFormat="1" ht="15" thickBot="1" x14ac:dyDescent="0.25">
      <c r="A56" s="403" t="s">
        <v>390</v>
      </c>
      <c r="B56" s="448"/>
      <c r="C56" s="386">
        <v>3434</v>
      </c>
      <c r="D56" s="387" t="s">
        <v>74</v>
      </c>
      <c r="E56" s="388">
        <v>5000</v>
      </c>
      <c r="F56" s="388">
        <v>5000</v>
      </c>
      <c r="G56" s="388">
        <f>F56/7.5345</f>
        <v>663.61404207313024</v>
      </c>
      <c r="H56" s="388">
        <v>700</v>
      </c>
      <c r="I56" s="388">
        <v>-200</v>
      </c>
      <c r="J56" s="363">
        <f t="shared" si="43"/>
        <v>500</v>
      </c>
      <c r="K56" s="531">
        <f>J56*7.5345</f>
        <v>3767.25</v>
      </c>
      <c r="L56" s="384">
        <f t="shared" si="29"/>
        <v>71.428571428571431</v>
      </c>
    </row>
    <row r="57" spans="1:12" ht="15" thickTop="1" x14ac:dyDescent="0.2">
      <c r="A57" s="401"/>
      <c r="B57" s="40"/>
      <c r="C57" s="40"/>
      <c r="D57" s="395" t="s">
        <v>178</v>
      </c>
      <c r="E57" s="385"/>
      <c r="F57" s="526"/>
      <c r="G57" s="526"/>
      <c r="H57" s="372"/>
      <c r="I57" s="372"/>
      <c r="J57" s="372"/>
      <c r="K57" s="526"/>
      <c r="L57" s="843">
        <f>AVERAGE(J59/H59*100)</f>
        <v>55.934959349593491</v>
      </c>
    </row>
    <row r="58" spans="1:12" ht="14.25" x14ac:dyDescent="0.2">
      <c r="A58" s="401"/>
      <c r="B58" s="40"/>
      <c r="C58" s="40"/>
      <c r="D58" s="395" t="s">
        <v>603</v>
      </c>
      <c r="E58" s="379"/>
      <c r="F58" s="372"/>
      <c r="G58" s="372"/>
      <c r="H58" s="372"/>
      <c r="I58" s="372"/>
      <c r="J58" s="372"/>
      <c r="K58" s="526"/>
      <c r="L58" s="844"/>
    </row>
    <row r="59" spans="1:12" s="97" customFormat="1" ht="15.75" x14ac:dyDescent="0.25">
      <c r="A59" s="425"/>
      <c r="D59" s="422" t="s">
        <v>417</v>
      </c>
      <c r="E59" s="423">
        <v>81000</v>
      </c>
      <c r="F59" s="424">
        <f t="shared" ref="F59:K60" si="44">SUM(F60)</f>
        <v>57500</v>
      </c>
      <c r="G59" s="424">
        <f t="shared" si="44"/>
        <v>7631.5614838409974</v>
      </c>
      <c r="H59" s="424">
        <f t="shared" si="44"/>
        <v>61500</v>
      </c>
      <c r="I59" s="424">
        <f t="shared" si="44"/>
        <v>-27100</v>
      </c>
      <c r="J59" s="424">
        <f t="shared" si="44"/>
        <v>34400</v>
      </c>
      <c r="K59" s="527">
        <f t="shared" si="44"/>
        <v>259186.80000000002</v>
      </c>
      <c r="L59" s="845"/>
    </row>
    <row r="60" spans="1:12" s="28" customFormat="1" ht="15" x14ac:dyDescent="0.25">
      <c r="A60" s="358" t="s">
        <v>394</v>
      </c>
      <c r="B60" s="447"/>
      <c r="C60" s="354">
        <v>42</v>
      </c>
      <c r="D60" s="369" t="s">
        <v>96</v>
      </c>
      <c r="E60" s="362">
        <v>81000</v>
      </c>
      <c r="F60" s="362">
        <f t="shared" si="44"/>
        <v>57500</v>
      </c>
      <c r="G60" s="362">
        <f t="shared" si="44"/>
        <v>7631.5614838409974</v>
      </c>
      <c r="H60" s="362">
        <f t="shared" si="44"/>
        <v>61500</v>
      </c>
      <c r="I60" s="362">
        <f t="shared" si="44"/>
        <v>-27100</v>
      </c>
      <c r="J60" s="362">
        <f t="shared" si="44"/>
        <v>34400</v>
      </c>
      <c r="K60" s="530">
        <f t="shared" si="44"/>
        <v>259186.80000000002</v>
      </c>
      <c r="L60" s="727">
        <f>AVERAGE(J60/H60*100)</f>
        <v>55.934959349593491</v>
      </c>
    </row>
    <row r="61" spans="1:12" ht="14.25" x14ac:dyDescent="0.2">
      <c r="A61" s="355" t="s">
        <v>394</v>
      </c>
      <c r="B61" s="446"/>
      <c r="C61" s="367">
        <v>422</v>
      </c>
      <c r="D61" s="368" t="s">
        <v>99</v>
      </c>
      <c r="E61" s="363">
        <f t="shared" ref="E61:J61" si="45">SUM(E62:E66)</f>
        <v>81000</v>
      </c>
      <c r="F61" s="363">
        <f t="shared" si="45"/>
        <v>57500</v>
      </c>
      <c r="G61" s="363">
        <f t="shared" si="45"/>
        <v>7631.5614838409974</v>
      </c>
      <c r="H61" s="363">
        <f t="shared" si="45"/>
        <v>61500</v>
      </c>
      <c r="I61" s="363">
        <f t="shared" si="45"/>
        <v>-27100</v>
      </c>
      <c r="J61" s="363">
        <f t="shared" si="45"/>
        <v>34400</v>
      </c>
      <c r="K61" s="529">
        <f t="shared" ref="K61" si="46">SUM(K62:K66)</f>
        <v>259186.80000000002</v>
      </c>
      <c r="L61" s="384">
        <f t="shared" ref="L61:L66" si="47">AVERAGE(J61/H61*100)</f>
        <v>55.934959349593491</v>
      </c>
    </row>
    <row r="62" spans="1:12" ht="14.25" x14ac:dyDescent="0.2">
      <c r="A62" s="355" t="s">
        <v>394</v>
      </c>
      <c r="B62" s="446"/>
      <c r="C62" s="367">
        <v>4221</v>
      </c>
      <c r="D62" s="368" t="s">
        <v>100</v>
      </c>
      <c r="E62" s="363">
        <v>25000</v>
      </c>
      <c r="F62" s="363">
        <v>20000</v>
      </c>
      <c r="G62" s="363">
        <f>F62/7.5345</f>
        <v>2654.4561682925209</v>
      </c>
      <c r="H62" s="363">
        <v>7000</v>
      </c>
      <c r="I62" s="363">
        <v>-4200</v>
      </c>
      <c r="J62" s="363">
        <f>SUM(H62+I62)</f>
        <v>2800</v>
      </c>
      <c r="K62" s="529">
        <f>J62*7.5345</f>
        <v>21096.600000000002</v>
      </c>
      <c r="L62" s="384">
        <f t="shared" si="47"/>
        <v>40</v>
      </c>
    </row>
    <row r="63" spans="1:12" ht="14.25" x14ac:dyDescent="0.2">
      <c r="A63" s="355" t="s">
        <v>394</v>
      </c>
      <c r="B63" s="446"/>
      <c r="C63" s="367">
        <v>4222</v>
      </c>
      <c r="D63" s="368" t="s">
        <v>101</v>
      </c>
      <c r="E63" s="363">
        <v>4000</v>
      </c>
      <c r="F63" s="363">
        <v>15000</v>
      </c>
      <c r="G63" s="363">
        <f>F63/7.5345</f>
        <v>1990.8421262193906</v>
      </c>
      <c r="H63" s="363">
        <v>4000</v>
      </c>
      <c r="I63" s="363">
        <v>-200</v>
      </c>
      <c r="J63" s="363">
        <f t="shared" ref="J63:J66" si="48">SUM(H63+I63)</f>
        <v>3800</v>
      </c>
      <c r="K63" s="529">
        <f>J63*7.5345</f>
        <v>28631.100000000002</v>
      </c>
      <c r="L63" s="384">
        <f t="shared" si="47"/>
        <v>95</v>
      </c>
    </row>
    <row r="64" spans="1:12" ht="14.25" x14ac:dyDescent="0.2">
      <c r="A64" s="355" t="s">
        <v>394</v>
      </c>
      <c r="B64" s="446"/>
      <c r="C64" s="367">
        <v>4223</v>
      </c>
      <c r="D64" s="368" t="s">
        <v>112</v>
      </c>
      <c r="E64" s="363">
        <v>20000</v>
      </c>
      <c r="F64" s="363">
        <v>5000</v>
      </c>
      <c r="G64" s="363">
        <f>F64/7.5345</f>
        <v>663.61404207313024</v>
      </c>
      <c r="H64" s="363">
        <v>1000</v>
      </c>
      <c r="I64" s="363">
        <v>-1000</v>
      </c>
      <c r="J64" s="363">
        <f t="shared" si="48"/>
        <v>0</v>
      </c>
      <c r="K64" s="529">
        <f>J64*7.5345</f>
        <v>0</v>
      </c>
      <c r="L64" s="384">
        <f t="shared" si="47"/>
        <v>0</v>
      </c>
    </row>
    <row r="65" spans="1:12" ht="14.25" x14ac:dyDescent="0.2">
      <c r="A65" s="355" t="s">
        <v>394</v>
      </c>
      <c r="B65" s="446"/>
      <c r="C65" s="367">
        <v>4226</v>
      </c>
      <c r="D65" s="368" t="s">
        <v>386</v>
      </c>
      <c r="E65" s="363">
        <v>2000</v>
      </c>
      <c r="F65" s="363">
        <v>7500</v>
      </c>
      <c r="G65" s="363">
        <f>F65/7.5345</f>
        <v>995.4210631096953</v>
      </c>
      <c r="H65" s="363">
        <v>1000</v>
      </c>
      <c r="I65" s="363">
        <v>-1000</v>
      </c>
      <c r="J65" s="363">
        <f t="shared" si="48"/>
        <v>0</v>
      </c>
      <c r="K65" s="529">
        <f>J65*7.5345</f>
        <v>0</v>
      </c>
      <c r="L65" s="384">
        <f t="shared" si="47"/>
        <v>0</v>
      </c>
    </row>
    <row r="66" spans="1:12" s="390" customFormat="1" ht="15" thickBot="1" x14ac:dyDescent="0.25">
      <c r="A66" s="404" t="s">
        <v>394</v>
      </c>
      <c r="B66" s="448"/>
      <c r="C66" s="386">
        <v>4227</v>
      </c>
      <c r="D66" s="387" t="s">
        <v>102</v>
      </c>
      <c r="E66" s="388">
        <v>30000</v>
      </c>
      <c r="F66" s="388">
        <v>10000</v>
      </c>
      <c r="G66" s="388">
        <f>F66/7.5345</f>
        <v>1327.2280841462605</v>
      </c>
      <c r="H66" s="388">
        <v>48500</v>
      </c>
      <c r="I66" s="388">
        <v>-20700</v>
      </c>
      <c r="J66" s="363">
        <f t="shared" si="48"/>
        <v>27800</v>
      </c>
      <c r="K66" s="531">
        <f>J66*7.5345</f>
        <v>209459.1</v>
      </c>
      <c r="L66" s="384">
        <f t="shared" si="47"/>
        <v>57.319587628865975</v>
      </c>
    </row>
    <row r="67" spans="1:12" ht="15" thickTop="1" x14ac:dyDescent="0.2">
      <c r="A67" s="401"/>
      <c r="B67" s="40"/>
      <c r="C67" s="40"/>
      <c r="D67" s="395" t="s">
        <v>178</v>
      </c>
      <c r="E67" s="385"/>
      <c r="F67" s="372"/>
      <c r="G67" s="372"/>
      <c r="H67" s="372"/>
      <c r="I67" s="372"/>
      <c r="J67" s="372"/>
      <c r="K67" s="526"/>
      <c r="L67" s="843">
        <f>AVERAGE(J69/H69*100)</f>
        <v>0</v>
      </c>
    </row>
    <row r="68" spans="1:12" ht="14.25" x14ac:dyDescent="0.2">
      <c r="A68" s="401"/>
      <c r="B68" s="40"/>
      <c r="C68" s="40"/>
      <c r="D68" s="395" t="s">
        <v>603</v>
      </c>
      <c r="E68" s="379"/>
      <c r="F68" s="372"/>
      <c r="G68" s="372"/>
      <c r="H68" s="372"/>
      <c r="I68" s="372"/>
      <c r="J68" s="372"/>
      <c r="K68" s="526"/>
      <c r="L68" s="844"/>
    </row>
    <row r="69" spans="1:12" s="97" customFormat="1" ht="15.75" x14ac:dyDescent="0.25">
      <c r="A69" s="425"/>
      <c r="D69" s="422" t="s">
        <v>418</v>
      </c>
      <c r="E69" s="423">
        <v>25000</v>
      </c>
      <c r="F69" s="424">
        <f t="shared" ref="F69:K71" si="49">SUM(F70)</f>
        <v>20000</v>
      </c>
      <c r="G69" s="424">
        <f t="shared" si="49"/>
        <v>2654.4561682925209</v>
      </c>
      <c r="H69" s="424">
        <f t="shared" si="49"/>
        <v>2000</v>
      </c>
      <c r="I69" s="424">
        <f t="shared" si="49"/>
        <v>-2000</v>
      </c>
      <c r="J69" s="424">
        <f t="shared" si="49"/>
        <v>0</v>
      </c>
      <c r="K69" s="527">
        <f t="shared" si="49"/>
        <v>0</v>
      </c>
      <c r="L69" s="845"/>
    </row>
    <row r="70" spans="1:12" s="28" customFormat="1" ht="15" x14ac:dyDescent="0.25">
      <c r="A70" s="358" t="s">
        <v>395</v>
      </c>
      <c r="B70" s="447"/>
      <c r="C70" s="354">
        <v>42</v>
      </c>
      <c r="D70" s="369" t="s">
        <v>96</v>
      </c>
      <c r="E70" s="362">
        <v>25000</v>
      </c>
      <c r="F70" s="362">
        <f t="shared" si="49"/>
        <v>20000</v>
      </c>
      <c r="G70" s="362">
        <f t="shared" si="49"/>
        <v>2654.4561682925209</v>
      </c>
      <c r="H70" s="362">
        <f t="shared" si="49"/>
        <v>2000</v>
      </c>
      <c r="I70" s="362">
        <f t="shared" si="49"/>
        <v>-2000</v>
      </c>
      <c r="J70" s="362">
        <f t="shared" si="49"/>
        <v>0</v>
      </c>
      <c r="K70" s="530">
        <f t="shared" si="49"/>
        <v>0</v>
      </c>
      <c r="L70" s="727">
        <f>AVERAGE(J70/H70*100)</f>
        <v>0</v>
      </c>
    </row>
    <row r="71" spans="1:12" ht="14.25" x14ac:dyDescent="0.2">
      <c r="A71" s="355" t="s">
        <v>395</v>
      </c>
      <c r="B71" s="446"/>
      <c r="C71" s="367">
        <v>426</v>
      </c>
      <c r="D71" s="368" t="s">
        <v>117</v>
      </c>
      <c r="E71" s="363">
        <v>25000</v>
      </c>
      <c r="F71" s="363">
        <f t="shared" si="49"/>
        <v>20000</v>
      </c>
      <c r="G71" s="363">
        <f t="shared" si="49"/>
        <v>2654.4561682925209</v>
      </c>
      <c r="H71" s="363">
        <f t="shared" si="49"/>
        <v>2000</v>
      </c>
      <c r="I71" s="363">
        <f t="shared" si="49"/>
        <v>-2000</v>
      </c>
      <c r="J71" s="363">
        <f t="shared" si="49"/>
        <v>0</v>
      </c>
      <c r="K71" s="529">
        <f t="shared" si="49"/>
        <v>0</v>
      </c>
      <c r="L71" s="384">
        <f t="shared" ref="L71:L72" si="50">AVERAGE(J71/H71*100)</f>
        <v>0</v>
      </c>
    </row>
    <row r="72" spans="1:12" s="390" customFormat="1" ht="15" thickBot="1" x14ac:dyDescent="0.25">
      <c r="A72" s="404" t="s">
        <v>395</v>
      </c>
      <c r="B72" s="448"/>
      <c r="C72" s="386">
        <v>4262</v>
      </c>
      <c r="D72" s="387" t="s">
        <v>196</v>
      </c>
      <c r="E72" s="388">
        <v>25000</v>
      </c>
      <c r="F72" s="388">
        <v>20000</v>
      </c>
      <c r="G72" s="388">
        <f>F72/7.5345</f>
        <v>2654.4561682925209</v>
      </c>
      <c r="H72" s="388">
        <v>2000</v>
      </c>
      <c r="I72" s="388">
        <v>-2000</v>
      </c>
      <c r="J72" s="388">
        <f>SUM(H72+I72)</f>
        <v>0</v>
      </c>
      <c r="K72" s="531">
        <f>J72*7.5345</f>
        <v>0</v>
      </c>
      <c r="L72" s="384">
        <f t="shared" si="50"/>
        <v>0</v>
      </c>
    </row>
    <row r="73" spans="1:12" ht="15" thickTop="1" x14ac:dyDescent="0.2">
      <c r="A73" s="401"/>
      <c r="B73" s="451"/>
      <c r="C73" s="40"/>
      <c r="D73" s="395" t="s">
        <v>178</v>
      </c>
      <c r="E73" s="385"/>
      <c r="F73" s="372"/>
      <c r="G73" s="372"/>
      <c r="H73" s="372"/>
      <c r="I73" s="372"/>
      <c r="J73" s="372"/>
      <c r="K73" s="526"/>
      <c r="L73" s="843">
        <f>AVERAGE(J75/H75*100)</f>
        <v>254.99999999999997</v>
      </c>
    </row>
    <row r="74" spans="1:12" ht="14.25" x14ac:dyDescent="0.2">
      <c r="A74" s="401"/>
      <c r="B74" s="451"/>
      <c r="C74" s="40"/>
      <c r="D74" s="395" t="s">
        <v>603</v>
      </c>
      <c r="E74" s="379"/>
      <c r="F74" s="372"/>
      <c r="G74" s="372"/>
      <c r="H74" s="372"/>
      <c r="I74" s="372"/>
      <c r="J74" s="372"/>
      <c r="K74" s="526"/>
      <c r="L74" s="844"/>
    </row>
    <row r="75" spans="1:12" s="97" customFormat="1" ht="15.75" x14ac:dyDescent="0.25">
      <c r="A75" s="425"/>
      <c r="B75" s="452"/>
      <c r="D75" s="422" t="s">
        <v>419</v>
      </c>
      <c r="E75" s="423">
        <v>20000</v>
      </c>
      <c r="F75" s="424">
        <f t="shared" ref="F75:K77" si="51">SUM(F76)</f>
        <v>10000</v>
      </c>
      <c r="G75" s="424">
        <f t="shared" si="51"/>
        <v>1327.2280841462605</v>
      </c>
      <c r="H75" s="424">
        <f t="shared" si="51"/>
        <v>1000</v>
      </c>
      <c r="I75" s="424">
        <f t="shared" si="51"/>
        <v>1550</v>
      </c>
      <c r="J75" s="424">
        <f t="shared" si="51"/>
        <v>2550</v>
      </c>
      <c r="K75" s="527">
        <f t="shared" si="51"/>
        <v>19212.975000000002</v>
      </c>
      <c r="L75" s="845"/>
    </row>
    <row r="76" spans="1:12" s="28" customFormat="1" ht="15" x14ac:dyDescent="0.25">
      <c r="A76" s="358" t="s">
        <v>396</v>
      </c>
      <c r="B76" s="447"/>
      <c r="C76" s="354">
        <v>32</v>
      </c>
      <c r="D76" s="369" t="s">
        <v>47</v>
      </c>
      <c r="E76" s="362">
        <v>20000</v>
      </c>
      <c r="F76" s="362">
        <f t="shared" si="51"/>
        <v>10000</v>
      </c>
      <c r="G76" s="362">
        <f t="shared" si="51"/>
        <v>1327.2280841462605</v>
      </c>
      <c r="H76" s="362">
        <f t="shared" si="51"/>
        <v>1000</v>
      </c>
      <c r="I76" s="362">
        <f t="shared" si="51"/>
        <v>1550</v>
      </c>
      <c r="J76" s="362">
        <f t="shared" si="51"/>
        <v>2550</v>
      </c>
      <c r="K76" s="530">
        <f t="shared" si="51"/>
        <v>19212.975000000002</v>
      </c>
      <c r="L76" s="727">
        <f>AVERAGE(J76/H76*100)</f>
        <v>254.99999999999997</v>
      </c>
    </row>
    <row r="77" spans="1:12" ht="14.25" x14ac:dyDescent="0.2">
      <c r="A77" s="355" t="s">
        <v>396</v>
      </c>
      <c r="B77" s="446"/>
      <c r="C77" s="367">
        <v>323</v>
      </c>
      <c r="D77" s="368" t="s">
        <v>56</v>
      </c>
      <c r="E77" s="363">
        <v>20000</v>
      </c>
      <c r="F77" s="363">
        <f t="shared" si="51"/>
        <v>10000</v>
      </c>
      <c r="G77" s="363">
        <f t="shared" si="51"/>
        <v>1327.2280841462605</v>
      </c>
      <c r="H77" s="363">
        <f t="shared" si="51"/>
        <v>1000</v>
      </c>
      <c r="I77" s="363">
        <f t="shared" si="51"/>
        <v>1550</v>
      </c>
      <c r="J77" s="363">
        <f t="shared" si="51"/>
        <v>2550</v>
      </c>
      <c r="K77" s="529">
        <f t="shared" si="51"/>
        <v>19212.975000000002</v>
      </c>
      <c r="L77" s="384">
        <f t="shared" ref="L77:L78" si="52">AVERAGE(J77/H77*100)</f>
        <v>254.99999999999997</v>
      </c>
    </row>
    <row r="78" spans="1:12" s="390" customFormat="1" ht="15" thickBot="1" x14ac:dyDescent="0.25">
      <c r="A78" s="404" t="s">
        <v>396</v>
      </c>
      <c r="B78" s="448"/>
      <c r="C78" s="386">
        <v>3237</v>
      </c>
      <c r="D78" s="387" t="s">
        <v>62</v>
      </c>
      <c r="E78" s="388">
        <v>20000</v>
      </c>
      <c r="F78" s="388">
        <v>10000</v>
      </c>
      <c r="G78" s="388">
        <f>F78/7.5345</f>
        <v>1327.2280841462605</v>
      </c>
      <c r="H78" s="388">
        <v>1000</v>
      </c>
      <c r="I78" s="388">
        <v>1550</v>
      </c>
      <c r="J78" s="388">
        <f>SUM(H78+I78)</f>
        <v>2550</v>
      </c>
      <c r="K78" s="531">
        <f>J78*7.5345</f>
        <v>19212.975000000002</v>
      </c>
      <c r="L78" s="384">
        <f t="shared" si="52"/>
        <v>254.99999999999997</v>
      </c>
    </row>
    <row r="79" spans="1:12" ht="15" thickTop="1" x14ac:dyDescent="0.2">
      <c r="A79" s="401"/>
      <c r="B79" s="451"/>
      <c r="C79" s="40"/>
      <c r="D79" s="395" t="s">
        <v>178</v>
      </c>
      <c r="E79" s="385"/>
      <c r="F79" s="372"/>
      <c r="G79" s="372"/>
      <c r="H79" s="372"/>
      <c r="I79" s="372"/>
      <c r="J79" s="372"/>
      <c r="K79" s="526"/>
      <c r="L79" s="843">
        <f>AVERAGE(J81/H81*100)</f>
        <v>18.333333333333332</v>
      </c>
    </row>
    <row r="80" spans="1:12" ht="14.25" x14ac:dyDescent="0.2">
      <c r="A80" s="401"/>
      <c r="B80" s="451"/>
      <c r="C80" s="40"/>
      <c r="D80" s="395" t="s">
        <v>603</v>
      </c>
      <c r="E80" s="379"/>
      <c r="F80" s="372"/>
      <c r="G80" s="372"/>
      <c r="H80" s="372"/>
      <c r="I80" s="372"/>
      <c r="J80" s="372"/>
      <c r="K80" s="526"/>
      <c r="L80" s="844"/>
    </row>
    <row r="81" spans="1:12" s="97" customFormat="1" ht="15.75" x14ac:dyDescent="0.25">
      <c r="A81" s="425"/>
      <c r="B81" s="452"/>
      <c r="D81" s="422" t="s">
        <v>420</v>
      </c>
      <c r="E81" s="423">
        <v>40000</v>
      </c>
      <c r="F81" s="424">
        <f t="shared" ref="F81:K83" si="53">SUM(F82)</f>
        <v>20000</v>
      </c>
      <c r="G81" s="424">
        <f t="shared" si="53"/>
        <v>2654.4561682925209</v>
      </c>
      <c r="H81" s="424">
        <f t="shared" si="53"/>
        <v>3000</v>
      </c>
      <c r="I81" s="424">
        <f t="shared" si="53"/>
        <v>-2450</v>
      </c>
      <c r="J81" s="424">
        <f t="shared" si="53"/>
        <v>550</v>
      </c>
      <c r="K81" s="527">
        <f t="shared" si="53"/>
        <v>4143.9750000000004</v>
      </c>
      <c r="L81" s="845"/>
    </row>
    <row r="82" spans="1:12" s="28" customFormat="1" ht="15" x14ac:dyDescent="0.25">
      <c r="A82" s="358" t="s">
        <v>397</v>
      </c>
      <c r="B82" s="447"/>
      <c r="C82" s="377">
        <v>38</v>
      </c>
      <c r="D82" s="378" t="s">
        <v>198</v>
      </c>
      <c r="E82" s="362">
        <v>40000</v>
      </c>
      <c r="F82" s="362">
        <f t="shared" si="53"/>
        <v>20000</v>
      </c>
      <c r="G82" s="362">
        <f t="shared" si="53"/>
        <v>2654.4561682925209</v>
      </c>
      <c r="H82" s="362">
        <f t="shared" si="53"/>
        <v>3000</v>
      </c>
      <c r="I82" s="362">
        <f t="shared" si="53"/>
        <v>-2450</v>
      </c>
      <c r="J82" s="362">
        <f t="shared" si="53"/>
        <v>550</v>
      </c>
      <c r="K82" s="530">
        <f t="shared" si="53"/>
        <v>4143.9750000000004</v>
      </c>
      <c r="L82" s="727">
        <f>AVERAGE(J82/H82*100)</f>
        <v>18.333333333333332</v>
      </c>
    </row>
    <row r="83" spans="1:12" ht="14.25" x14ac:dyDescent="0.2">
      <c r="A83" s="355" t="s">
        <v>397</v>
      </c>
      <c r="B83" s="446" t="s">
        <v>398</v>
      </c>
      <c r="C83" s="375">
        <v>383</v>
      </c>
      <c r="D83" s="366" t="s">
        <v>199</v>
      </c>
      <c r="E83" s="363">
        <v>40000</v>
      </c>
      <c r="F83" s="363">
        <f t="shared" si="53"/>
        <v>20000</v>
      </c>
      <c r="G83" s="363">
        <f t="shared" si="53"/>
        <v>2654.4561682925209</v>
      </c>
      <c r="H83" s="363">
        <f t="shared" si="53"/>
        <v>3000</v>
      </c>
      <c r="I83" s="363">
        <f t="shared" si="53"/>
        <v>-2450</v>
      </c>
      <c r="J83" s="363">
        <f t="shared" si="53"/>
        <v>550</v>
      </c>
      <c r="K83" s="529">
        <f t="shared" si="53"/>
        <v>4143.9750000000004</v>
      </c>
      <c r="L83" s="384">
        <f t="shared" ref="L83:L84" si="54">AVERAGE(J83/H83*100)</f>
        <v>18.333333333333332</v>
      </c>
    </row>
    <row r="84" spans="1:12" ht="15" thickBot="1" x14ac:dyDescent="0.25">
      <c r="A84" s="356" t="s">
        <v>397</v>
      </c>
      <c r="B84" s="453"/>
      <c r="C84" s="398">
        <v>3831</v>
      </c>
      <c r="D84" s="374" t="s">
        <v>200</v>
      </c>
      <c r="E84" s="361">
        <v>40000</v>
      </c>
      <c r="F84" s="361">
        <v>20000</v>
      </c>
      <c r="G84" s="363">
        <f>F84/7.5345</f>
        <v>2654.4561682925209</v>
      </c>
      <c r="H84" s="363">
        <v>3000</v>
      </c>
      <c r="I84" s="363">
        <v>-2450</v>
      </c>
      <c r="J84" s="363">
        <f>SUM(H84+I84)</f>
        <v>550</v>
      </c>
      <c r="K84" s="529">
        <f>J84*7.5345</f>
        <v>4143.9750000000004</v>
      </c>
      <c r="L84" s="384">
        <f t="shared" si="54"/>
        <v>18.333333333333332</v>
      </c>
    </row>
    <row r="85" spans="1:12" s="586" customFormat="1" ht="37.15" customHeight="1" thickBot="1" x14ac:dyDescent="0.25">
      <c r="A85" s="852" t="s">
        <v>514</v>
      </c>
      <c r="B85" s="853"/>
      <c r="C85" s="853"/>
      <c r="D85" s="854"/>
      <c r="E85" s="547">
        <v>175000</v>
      </c>
      <c r="F85" s="547">
        <f t="shared" ref="F85:H85" si="55">SUM(F88)</f>
        <v>185000</v>
      </c>
      <c r="G85" s="547">
        <f t="shared" si="55"/>
        <v>24553.719556705822</v>
      </c>
      <c r="H85" s="547">
        <f t="shared" si="55"/>
        <v>45000</v>
      </c>
      <c r="I85" s="547">
        <f t="shared" ref="I85:J85" si="56">SUM(I88)</f>
        <v>-14650</v>
      </c>
      <c r="J85" s="547">
        <f t="shared" si="56"/>
        <v>30350</v>
      </c>
      <c r="K85" s="550">
        <f t="shared" ref="K85" si="57">SUM(K88)</f>
        <v>228672.07500000001</v>
      </c>
      <c r="L85" s="726">
        <f>AVERAGE(J85/H85*100)</f>
        <v>67.444444444444443</v>
      </c>
    </row>
    <row r="86" spans="1:12" ht="14.25" x14ac:dyDescent="0.2">
      <c r="A86" s="401"/>
      <c r="B86" s="40"/>
      <c r="C86" s="40"/>
      <c r="D86" s="395" t="s">
        <v>178</v>
      </c>
      <c r="E86" s="373"/>
      <c r="F86" s="372"/>
      <c r="G86" s="372"/>
      <c r="H86" s="372"/>
      <c r="I86" s="372"/>
      <c r="J86" s="372"/>
      <c r="K86" s="526"/>
      <c r="L86" s="862">
        <f>AVERAGE(J88/H88*100)</f>
        <v>67.444444444444443</v>
      </c>
    </row>
    <row r="87" spans="1:12" ht="14.25" x14ac:dyDescent="0.2">
      <c r="A87" s="401"/>
      <c r="B87" s="40"/>
      <c r="C87" s="40"/>
      <c r="D87" s="395" t="s">
        <v>605</v>
      </c>
      <c r="E87" s="363"/>
      <c r="F87" s="372"/>
      <c r="G87" s="372"/>
      <c r="H87" s="372"/>
      <c r="I87" s="372"/>
      <c r="J87" s="372"/>
      <c r="K87" s="526"/>
      <c r="L87" s="844"/>
    </row>
    <row r="88" spans="1:12" s="97" customFormat="1" ht="15.75" x14ac:dyDescent="0.25">
      <c r="A88" s="425"/>
      <c r="D88" s="422" t="s">
        <v>490</v>
      </c>
      <c r="E88" s="426">
        <v>175000</v>
      </c>
      <c r="F88" s="424">
        <f t="shared" ref="F88:K89" si="58">SUM(F89)</f>
        <v>185000</v>
      </c>
      <c r="G88" s="424">
        <f t="shared" si="58"/>
        <v>24553.719556705822</v>
      </c>
      <c r="H88" s="424">
        <f t="shared" si="58"/>
        <v>45000</v>
      </c>
      <c r="I88" s="424">
        <f t="shared" si="58"/>
        <v>-14650</v>
      </c>
      <c r="J88" s="424">
        <f t="shared" si="58"/>
        <v>30350</v>
      </c>
      <c r="K88" s="527">
        <f t="shared" si="58"/>
        <v>228672.07500000001</v>
      </c>
      <c r="L88" s="845"/>
    </row>
    <row r="89" spans="1:12" s="28" customFormat="1" ht="15" x14ac:dyDescent="0.25">
      <c r="A89" s="358" t="s">
        <v>444</v>
      </c>
      <c r="B89" s="447"/>
      <c r="C89" s="377">
        <v>32</v>
      </c>
      <c r="D89" s="364" t="s">
        <v>180</v>
      </c>
      <c r="E89" s="362">
        <v>175000</v>
      </c>
      <c r="F89" s="362">
        <f t="shared" si="58"/>
        <v>185000</v>
      </c>
      <c r="G89" s="362">
        <f t="shared" si="58"/>
        <v>24553.719556705822</v>
      </c>
      <c r="H89" s="362">
        <f t="shared" si="58"/>
        <v>45000</v>
      </c>
      <c r="I89" s="362">
        <f t="shared" si="58"/>
        <v>-14650</v>
      </c>
      <c r="J89" s="362">
        <f t="shared" si="58"/>
        <v>30350</v>
      </c>
      <c r="K89" s="530">
        <f t="shared" si="58"/>
        <v>228672.07500000001</v>
      </c>
      <c r="L89" s="727">
        <f>AVERAGE(J89/H89*100)</f>
        <v>67.444444444444443</v>
      </c>
    </row>
    <row r="90" spans="1:12" ht="14.25" x14ac:dyDescent="0.2">
      <c r="A90" s="355" t="s">
        <v>444</v>
      </c>
      <c r="B90" s="446"/>
      <c r="C90" s="375">
        <v>329</v>
      </c>
      <c r="D90" s="366" t="s">
        <v>65</v>
      </c>
      <c r="E90" s="363">
        <f t="shared" ref="E90:J90" si="59">SUM(E91:E93)</f>
        <v>175000</v>
      </c>
      <c r="F90" s="363">
        <f t="shared" si="59"/>
        <v>185000</v>
      </c>
      <c r="G90" s="363">
        <f t="shared" si="59"/>
        <v>24553.719556705822</v>
      </c>
      <c r="H90" s="363">
        <f t="shared" si="59"/>
        <v>45000</v>
      </c>
      <c r="I90" s="363">
        <f t="shared" si="59"/>
        <v>-14650</v>
      </c>
      <c r="J90" s="363">
        <f t="shared" si="59"/>
        <v>30350</v>
      </c>
      <c r="K90" s="529">
        <f t="shared" ref="K90" si="60">SUM(K91:K93)</f>
        <v>228672.07500000001</v>
      </c>
      <c r="L90" s="384">
        <f t="shared" ref="L90:L114" si="61">AVERAGE(J90/H90*100)</f>
        <v>67.444444444444443</v>
      </c>
    </row>
    <row r="91" spans="1:12" ht="14.25" x14ac:dyDescent="0.2">
      <c r="A91" s="355" t="s">
        <v>444</v>
      </c>
      <c r="B91" s="446"/>
      <c r="C91" s="375">
        <v>3291</v>
      </c>
      <c r="D91" s="366" t="s">
        <v>66</v>
      </c>
      <c r="E91" s="363">
        <v>150000</v>
      </c>
      <c r="F91" s="363">
        <v>140000</v>
      </c>
      <c r="G91" s="363">
        <f>F91/7.5345</f>
        <v>18581.193178047648</v>
      </c>
      <c r="H91" s="363">
        <v>35000</v>
      </c>
      <c r="I91" s="363">
        <v>-18000</v>
      </c>
      <c r="J91" s="363">
        <f>SUM(H91+I91)</f>
        <v>17000</v>
      </c>
      <c r="K91" s="529">
        <f>J91*7.5345</f>
        <v>128086.5</v>
      </c>
      <c r="L91" s="384">
        <f t="shared" si="61"/>
        <v>48.571428571428569</v>
      </c>
    </row>
    <row r="92" spans="1:12" ht="14.25" x14ac:dyDescent="0.2">
      <c r="A92" s="355" t="s">
        <v>444</v>
      </c>
      <c r="B92" s="446"/>
      <c r="C92" s="375">
        <v>3293</v>
      </c>
      <c r="D92" s="366" t="s">
        <v>68</v>
      </c>
      <c r="E92" s="363">
        <v>10000</v>
      </c>
      <c r="F92" s="363">
        <v>15000</v>
      </c>
      <c r="G92" s="363">
        <f>F92/7.5345</f>
        <v>1990.8421262193906</v>
      </c>
      <c r="H92" s="612">
        <v>6000</v>
      </c>
      <c r="I92" s="612">
        <v>4000</v>
      </c>
      <c r="J92" s="363">
        <f t="shared" ref="J92:J93" si="62">SUM(H92+I92)</f>
        <v>10000</v>
      </c>
      <c r="K92" s="529">
        <f>J92*7.5345</f>
        <v>75345</v>
      </c>
      <c r="L92" s="384">
        <f t="shared" si="61"/>
        <v>166.66666666666669</v>
      </c>
    </row>
    <row r="93" spans="1:12" ht="15" thickBot="1" x14ac:dyDescent="0.25">
      <c r="A93" s="355" t="s">
        <v>444</v>
      </c>
      <c r="B93" s="453"/>
      <c r="C93" s="398">
        <v>3294</v>
      </c>
      <c r="D93" s="374" t="s">
        <v>69</v>
      </c>
      <c r="E93" s="361">
        <v>15000</v>
      </c>
      <c r="F93" s="361">
        <v>30000</v>
      </c>
      <c r="G93" s="363">
        <f>F93/7.5345</f>
        <v>3981.6842524387812</v>
      </c>
      <c r="H93" s="363">
        <v>4000</v>
      </c>
      <c r="I93" s="363">
        <v>-650</v>
      </c>
      <c r="J93" s="363">
        <f t="shared" si="62"/>
        <v>3350</v>
      </c>
      <c r="K93" s="529">
        <f>J93*7.5345</f>
        <v>25240.575000000001</v>
      </c>
      <c r="L93" s="384">
        <f t="shared" si="61"/>
        <v>83.75</v>
      </c>
    </row>
    <row r="94" spans="1:12" s="552" customFormat="1" ht="18.75" thickBot="1" x14ac:dyDescent="0.25">
      <c r="A94" s="866" t="s">
        <v>443</v>
      </c>
      <c r="B94" s="867"/>
      <c r="C94" s="867"/>
      <c r="D94" s="868"/>
      <c r="E94" s="541">
        <v>0</v>
      </c>
      <c r="F94" s="541">
        <f t="shared" ref="F94:H94" si="63">SUM(F97)</f>
        <v>0</v>
      </c>
      <c r="G94" s="541">
        <f t="shared" si="63"/>
        <v>0</v>
      </c>
      <c r="H94" s="541">
        <f t="shared" si="63"/>
        <v>25300</v>
      </c>
      <c r="I94" s="541">
        <f t="shared" ref="I94:J94" si="64">SUM(I97)</f>
        <v>-2450</v>
      </c>
      <c r="J94" s="541">
        <f t="shared" si="64"/>
        <v>22850</v>
      </c>
      <c r="K94" s="546">
        <f t="shared" ref="K94" si="65">SUM(K97)</f>
        <v>2986.2631893290859</v>
      </c>
      <c r="L94" s="541">
        <f t="shared" si="61"/>
        <v>90.316205533596843</v>
      </c>
    </row>
    <row r="95" spans="1:12" ht="14.25" x14ac:dyDescent="0.2">
      <c r="A95" s="401"/>
      <c r="B95" s="40"/>
      <c r="C95" s="40"/>
      <c r="D95" s="395" t="s">
        <v>178</v>
      </c>
      <c r="E95" s="373"/>
      <c r="F95" s="372"/>
      <c r="G95" s="372"/>
      <c r="H95" s="372"/>
      <c r="I95" s="372"/>
      <c r="J95" s="372"/>
      <c r="K95" s="526"/>
      <c r="L95" s="372"/>
    </row>
    <row r="96" spans="1:12" ht="14.25" x14ac:dyDescent="0.2">
      <c r="A96" s="401"/>
      <c r="B96" s="40"/>
      <c r="C96" s="40"/>
      <c r="D96" s="395" t="s">
        <v>603</v>
      </c>
      <c r="E96" s="363"/>
      <c r="F96" s="372"/>
      <c r="G96" s="372"/>
      <c r="H96" s="372"/>
      <c r="I96" s="372"/>
      <c r="J96" s="372"/>
      <c r="K96" s="526"/>
      <c r="L96" s="372"/>
    </row>
    <row r="97" spans="1:12" s="97" customFormat="1" ht="15.75" x14ac:dyDescent="0.25">
      <c r="A97" s="425"/>
      <c r="D97" s="422" t="s">
        <v>567</v>
      </c>
      <c r="E97" s="426">
        <v>0</v>
      </c>
      <c r="F97" s="424">
        <f t="shared" ref="F97:K97" si="66">SUM(F98+F105)</f>
        <v>0</v>
      </c>
      <c r="G97" s="424">
        <f t="shared" si="66"/>
        <v>0</v>
      </c>
      <c r="H97" s="424">
        <f t="shared" si="66"/>
        <v>25300</v>
      </c>
      <c r="I97" s="424">
        <f t="shared" si="66"/>
        <v>-2450</v>
      </c>
      <c r="J97" s="424">
        <f t="shared" si="66"/>
        <v>22850</v>
      </c>
      <c r="K97" s="527">
        <f t="shared" si="66"/>
        <v>2986.2631893290859</v>
      </c>
      <c r="L97" s="381">
        <f t="shared" si="61"/>
        <v>90.316205533596843</v>
      </c>
    </row>
    <row r="98" spans="1:12" s="28" customFormat="1" ht="15" x14ac:dyDescent="0.25">
      <c r="A98" s="358" t="s">
        <v>445</v>
      </c>
      <c r="B98" s="447"/>
      <c r="C98" s="377">
        <v>32</v>
      </c>
      <c r="D98" s="354" t="s">
        <v>180</v>
      </c>
      <c r="E98" s="362">
        <v>0</v>
      </c>
      <c r="F98" s="362">
        <f t="shared" ref="F98:K98" si="67">SUM(F101+F103)</f>
        <v>0</v>
      </c>
      <c r="G98" s="362">
        <f t="shared" si="67"/>
        <v>0</v>
      </c>
      <c r="H98" s="362">
        <f>SUM(H99+H101+H103)</f>
        <v>22300</v>
      </c>
      <c r="I98" s="362">
        <f t="shared" ref="I98:J98" si="68">SUM(I99+I101+I103)</f>
        <v>-2400</v>
      </c>
      <c r="J98" s="362">
        <f t="shared" si="68"/>
        <v>19900</v>
      </c>
      <c r="K98" s="530">
        <f t="shared" si="67"/>
        <v>2594.7309045059392</v>
      </c>
      <c r="L98" s="381">
        <f t="shared" si="61"/>
        <v>89.237668161434982</v>
      </c>
    </row>
    <row r="99" spans="1:12" s="28" customFormat="1" ht="15" x14ac:dyDescent="0.25">
      <c r="A99" s="355" t="s">
        <v>445</v>
      </c>
      <c r="B99" s="447"/>
      <c r="C99" s="375">
        <v>322</v>
      </c>
      <c r="D99" s="367" t="s">
        <v>52</v>
      </c>
      <c r="E99" s="362"/>
      <c r="F99" s="362"/>
      <c r="G99" s="362"/>
      <c r="H99" s="363">
        <f>H100</f>
        <v>400</v>
      </c>
      <c r="I99" s="363">
        <f t="shared" ref="I99:J99" si="69">I100</f>
        <v>-50</v>
      </c>
      <c r="J99" s="363">
        <f t="shared" si="69"/>
        <v>350</v>
      </c>
      <c r="K99" s="530"/>
      <c r="L99" s="373">
        <f t="shared" si="61"/>
        <v>87.5</v>
      </c>
    </row>
    <row r="100" spans="1:12" s="28" customFormat="1" ht="15" x14ac:dyDescent="0.25">
      <c r="A100" s="355" t="s">
        <v>445</v>
      </c>
      <c r="B100" s="447"/>
      <c r="C100" s="375">
        <v>3221</v>
      </c>
      <c r="D100" s="367" t="s">
        <v>53</v>
      </c>
      <c r="E100" s="362"/>
      <c r="F100" s="362"/>
      <c r="G100" s="362"/>
      <c r="H100" s="363">
        <v>400</v>
      </c>
      <c r="I100" s="363">
        <v>-50</v>
      </c>
      <c r="J100" s="363">
        <f>SUM(H100+I100)</f>
        <v>350</v>
      </c>
      <c r="K100" s="530"/>
      <c r="L100" s="373">
        <f t="shared" si="61"/>
        <v>87.5</v>
      </c>
    </row>
    <row r="101" spans="1:12" ht="14.25" x14ac:dyDescent="0.2">
      <c r="A101" s="355" t="s">
        <v>445</v>
      </c>
      <c r="B101" s="446"/>
      <c r="C101" s="375">
        <v>323</v>
      </c>
      <c r="D101" s="366" t="s">
        <v>56</v>
      </c>
      <c r="E101" s="363">
        <v>0</v>
      </c>
      <c r="F101" s="363">
        <f t="shared" ref="F101:K101" si="70">SUM(F102)</f>
        <v>0</v>
      </c>
      <c r="G101" s="363">
        <f t="shared" si="70"/>
        <v>0</v>
      </c>
      <c r="H101" s="363">
        <f>H102</f>
        <v>400</v>
      </c>
      <c r="I101" s="363">
        <f t="shared" si="70"/>
        <v>0</v>
      </c>
      <c r="J101" s="363">
        <f t="shared" si="70"/>
        <v>400</v>
      </c>
      <c r="K101" s="529">
        <f t="shared" si="70"/>
        <v>53.089123365850419</v>
      </c>
      <c r="L101" s="373">
        <f t="shared" si="61"/>
        <v>100</v>
      </c>
    </row>
    <row r="102" spans="1:12" ht="14.25" x14ac:dyDescent="0.2">
      <c r="A102" s="355" t="s">
        <v>445</v>
      </c>
      <c r="B102" s="446"/>
      <c r="C102" s="375">
        <v>3239</v>
      </c>
      <c r="D102" s="366" t="s">
        <v>64</v>
      </c>
      <c r="E102" s="363">
        <v>0</v>
      </c>
      <c r="F102" s="363">
        <v>0</v>
      </c>
      <c r="G102" s="363">
        <f t="shared" ref="G102:K102" si="71">F102/7.5345</f>
        <v>0</v>
      </c>
      <c r="H102" s="363">
        <v>400</v>
      </c>
      <c r="I102" s="363">
        <v>0</v>
      </c>
      <c r="J102" s="363">
        <f>SUM(H102+I102)</f>
        <v>400</v>
      </c>
      <c r="K102" s="529">
        <f t="shared" si="71"/>
        <v>53.089123365850419</v>
      </c>
      <c r="L102" s="373">
        <f t="shared" si="61"/>
        <v>100</v>
      </c>
    </row>
    <row r="103" spans="1:12" ht="14.25" x14ac:dyDescent="0.2">
      <c r="A103" s="355" t="s">
        <v>445</v>
      </c>
      <c r="B103" s="446"/>
      <c r="C103" s="375">
        <v>329</v>
      </c>
      <c r="D103" s="366" t="s">
        <v>65</v>
      </c>
      <c r="E103" s="363">
        <v>0</v>
      </c>
      <c r="F103" s="363">
        <f t="shared" ref="F103:K103" si="72">SUM(F104)</f>
        <v>0</v>
      </c>
      <c r="G103" s="363">
        <f t="shared" si="72"/>
        <v>0</v>
      </c>
      <c r="H103" s="363">
        <f t="shared" si="72"/>
        <v>21500</v>
      </c>
      <c r="I103" s="363">
        <f t="shared" si="72"/>
        <v>-2350</v>
      </c>
      <c r="J103" s="363">
        <f t="shared" si="72"/>
        <v>19150</v>
      </c>
      <c r="K103" s="529">
        <f t="shared" si="72"/>
        <v>2541.6417811400888</v>
      </c>
      <c r="L103" s="373">
        <f t="shared" si="61"/>
        <v>89.069767441860463</v>
      </c>
    </row>
    <row r="104" spans="1:12" ht="14.25" x14ac:dyDescent="0.2">
      <c r="A104" s="355" t="s">
        <v>445</v>
      </c>
      <c r="B104" s="446"/>
      <c r="C104" s="375">
        <v>3291</v>
      </c>
      <c r="D104" s="366" t="s">
        <v>66</v>
      </c>
      <c r="E104" s="363">
        <v>0</v>
      </c>
      <c r="F104" s="363">
        <v>0</v>
      </c>
      <c r="G104" s="363">
        <f t="shared" ref="G104:K104" si="73">F104/7.5345</f>
        <v>0</v>
      </c>
      <c r="H104" s="363">
        <v>21500</v>
      </c>
      <c r="I104" s="363">
        <v>-2350</v>
      </c>
      <c r="J104" s="363">
        <f>SUM(H104+I104)</f>
        <v>19150</v>
      </c>
      <c r="K104" s="529">
        <f t="shared" si="73"/>
        <v>2541.6417811400888</v>
      </c>
      <c r="L104" s="373">
        <f t="shared" si="61"/>
        <v>89.069767441860463</v>
      </c>
    </row>
    <row r="105" spans="1:12" s="28" customFormat="1" ht="15" x14ac:dyDescent="0.25">
      <c r="A105" s="358" t="s">
        <v>445</v>
      </c>
      <c r="B105" s="447"/>
      <c r="C105" s="377">
        <v>38</v>
      </c>
      <c r="D105" s="364" t="s">
        <v>198</v>
      </c>
      <c r="E105" s="362">
        <v>0</v>
      </c>
      <c r="F105" s="362">
        <f t="shared" ref="F105:K106" si="74">SUM(F106)</f>
        <v>0</v>
      </c>
      <c r="G105" s="362">
        <f t="shared" si="74"/>
        <v>0</v>
      </c>
      <c r="H105" s="362">
        <f t="shared" si="74"/>
        <v>3000</v>
      </c>
      <c r="I105" s="362">
        <f t="shared" si="74"/>
        <v>-50</v>
      </c>
      <c r="J105" s="362">
        <f t="shared" si="74"/>
        <v>2950</v>
      </c>
      <c r="K105" s="530">
        <f t="shared" si="74"/>
        <v>391.53228482314682</v>
      </c>
      <c r="L105" s="381">
        <f t="shared" si="61"/>
        <v>98.333333333333329</v>
      </c>
    </row>
    <row r="106" spans="1:12" ht="14.25" x14ac:dyDescent="0.2">
      <c r="A106" s="355" t="s">
        <v>445</v>
      </c>
      <c r="B106" s="446"/>
      <c r="C106" s="375">
        <v>381</v>
      </c>
      <c r="D106" s="366" t="s">
        <v>37</v>
      </c>
      <c r="E106" s="363">
        <v>0</v>
      </c>
      <c r="F106" s="363">
        <f t="shared" si="74"/>
        <v>0</v>
      </c>
      <c r="G106" s="363">
        <f t="shared" si="74"/>
        <v>0</v>
      </c>
      <c r="H106" s="363">
        <f t="shared" si="74"/>
        <v>3000</v>
      </c>
      <c r="I106" s="363">
        <f t="shared" si="74"/>
        <v>-50</v>
      </c>
      <c r="J106" s="363">
        <f t="shared" si="74"/>
        <v>2950</v>
      </c>
      <c r="K106" s="529">
        <f t="shared" si="74"/>
        <v>391.53228482314682</v>
      </c>
      <c r="L106" s="373">
        <f t="shared" si="61"/>
        <v>98.333333333333329</v>
      </c>
    </row>
    <row r="107" spans="1:12" ht="15" thickBot="1" x14ac:dyDescent="0.25">
      <c r="A107" s="355" t="s">
        <v>445</v>
      </c>
      <c r="B107" s="453"/>
      <c r="C107" s="398">
        <v>3811</v>
      </c>
      <c r="D107" s="374" t="s">
        <v>399</v>
      </c>
      <c r="E107" s="361">
        <v>0</v>
      </c>
      <c r="F107" s="361">
        <v>0</v>
      </c>
      <c r="G107" s="363">
        <f t="shared" ref="G107:K107" si="75">F107/7.5345</f>
        <v>0</v>
      </c>
      <c r="H107" s="363">
        <v>3000</v>
      </c>
      <c r="I107" s="363">
        <v>-50</v>
      </c>
      <c r="J107" s="363">
        <f>SUM(H107+I107)</f>
        <v>2950</v>
      </c>
      <c r="K107" s="529">
        <f t="shared" si="75"/>
        <v>391.53228482314682</v>
      </c>
      <c r="L107" s="373">
        <f t="shared" si="61"/>
        <v>98.333333333333329</v>
      </c>
    </row>
    <row r="108" spans="1:12" s="552" customFormat="1" ht="18.75" thickBot="1" x14ac:dyDescent="0.25">
      <c r="A108" s="852" t="s">
        <v>568</v>
      </c>
      <c r="B108" s="853"/>
      <c r="C108" s="853"/>
      <c r="D108" s="854"/>
      <c r="E108" s="541">
        <v>97000</v>
      </c>
      <c r="F108" s="541" t="e">
        <f t="shared" ref="F108:H108" si="76">SUM(F111+F117)</f>
        <v>#REF!</v>
      </c>
      <c r="G108" s="541" t="e">
        <f t="shared" si="76"/>
        <v>#REF!</v>
      </c>
      <c r="H108" s="541">
        <f t="shared" si="76"/>
        <v>30000</v>
      </c>
      <c r="I108" s="541">
        <f t="shared" ref="I108:J108" si="77">SUM(I111+I117)</f>
        <v>-9000</v>
      </c>
      <c r="J108" s="541">
        <f t="shared" si="77"/>
        <v>21000</v>
      </c>
      <c r="K108" s="546" t="e">
        <f t="shared" ref="K108" si="78">SUM(K111+K117)</f>
        <v>#REF!</v>
      </c>
      <c r="L108" s="541">
        <f t="shared" si="61"/>
        <v>70</v>
      </c>
    </row>
    <row r="109" spans="1:12" ht="14.25" x14ac:dyDescent="0.2">
      <c r="A109" s="401"/>
      <c r="B109" s="40"/>
      <c r="C109" s="40"/>
      <c r="D109" s="396" t="s">
        <v>178</v>
      </c>
      <c r="E109" s="373"/>
      <c r="F109" s="372"/>
      <c r="G109" s="372"/>
      <c r="H109" s="372"/>
      <c r="I109" s="372"/>
      <c r="J109" s="372"/>
      <c r="K109" s="526"/>
      <c r="L109" s="372"/>
    </row>
    <row r="110" spans="1:12" ht="14.25" x14ac:dyDescent="0.2">
      <c r="A110" s="401"/>
      <c r="B110" s="40"/>
      <c r="C110" s="40"/>
      <c r="D110" s="395" t="s">
        <v>606</v>
      </c>
      <c r="E110" s="363"/>
      <c r="F110" s="372"/>
      <c r="G110" s="372"/>
      <c r="H110" s="372"/>
      <c r="I110" s="372"/>
      <c r="J110" s="372"/>
      <c r="K110" s="526"/>
      <c r="L110" s="372"/>
    </row>
    <row r="111" spans="1:12" s="97" customFormat="1" ht="31.5" x14ac:dyDescent="0.25">
      <c r="A111" s="425"/>
      <c r="D111" s="427" t="s">
        <v>465</v>
      </c>
      <c r="E111" s="426">
        <v>87000</v>
      </c>
      <c r="F111" s="424">
        <f t="shared" ref="F111:K113" si="79">SUM(F112)</f>
        <v>100000</v>
      </c>
      <c r="G111" s="424">
        <f t="shared" si="79"/>
        <v>13272.280841462605</v>
      </c>
      <c r="H111" s="424">
        <f t="shared" si="79"/>
        <v>15000</v>
      </c>
      <c r="I111" s="424">
        <f t="shared" si="79"/>
        <v>-1000</v>
      </c>
      <c r="J111" s="424">
        <f t="shared" si="79"/>
        <v>14000</v>
      </c>
      <c r="K111" s="527">
        <f t="shared" si="79"/>
        <v>105483</v>
      </c>
      <c r="L111" s="381">
        <f t="shared" si="61"/>
        <v>93.333333333333329</v>
      </c>
    </row>
    <row r="112" spans="1:12" s="28" customFormat="1" ht="15" x14ac:dyDescent="0.25">
      <c r="A112" s="358" t="s">
        <v>446</v>
      </c>
      <c r="B112" s="447"/>
      <c r="C112" s="354">
        <v>35</v>
      </c>
      <c r="D112" s="365" t="s">
        <v>75</v>
      </c>
      <c r="E112" s="362">
        <v>87000</v>
      </c>
      <c r="F112" s="362">
        <f t="shared" si="79"/>
        <v>100000</v>
      </c>
      <c r="G112" s="362">
        <f t="shared" si="79"/>
        <v>13272.280841462605</v>
      </c>
      <c r="H112" s="362">
        <f t="shared" si="79"/>
        <v>15000</v>
      </c>
      <c r="I112" s="362">
        <f t="shared" si="79"/>
        <v>-1000</v>
      </c>
      <c r="J112" s="362">
        <f t="shared" si="79"/>
        <v>14000</v>
      </c>
      <c r="K112" s="530">
        <f t="shared" si="79"/>
        <v>105483</v>
      </c>
      <c r="L112" s="381">
        <f t="shared" si="61"/>
        <v>93.333333333333329</v>
      </c>
    </row>
    <row r="113" spans="1:12" ht="14.25" x14ac:dyDescent="0.2">
      <c r="A113" s="355" t="s">
        <v>446</v>
      </c>
      <c r="B113" s="446"/>
      <c r="C113" s="367">
        <v>352</v>
      </c>
      <c r="D113" s="368" t="s">
        <v>400</v>
      </c>
      <c r="E113" s="363">
        <v>87000</v>
      </c>
      <c r="F113" s="363">
        <f t="shared" si="79"/>
        <v>100000</v>
      </c>
      <c r="G113" s="363">
        <f t="shared" si="79"/>
        <v>13272.280841462605</v>
      </c>
      <c r="H113" s="363">
        <f t="shared" si="79"/>
        <v>15000</v>
      </c>
      <c r="I113" s="363">
        <f t="shared" si="79"/>
        <v>-1000</v>
      </c>
      <c r="J113" s="363">
        <f t="shared" si="79"/>
        <v>14000</v>
      </c>
      <c r="K113" s="529">
        <f t="shared" si="79"/>
        <v>105483</v>
      </c>
      <c r="L113" s="373">
        <f t="shared" si="61"/>
        <v>93.333333333333329</v>
      </c>
    </row>
    <row r="114" spans="1:12" s="390" customFormat="1" ht="15" thickBot="1" x14ac:dyDescent="0.25">
      <c r="A114" s="404" t="s">
        <v>446</v>
      </c>
      <c r="B114" s="448"/>
      <c r="C114" s="386">
        <v>3522</v>
      </c>
      <c r="D114" s="387" t="s">
        <v>401</v>
      </c>
      <c r="E114" s="388">
        <v>87000</v>
      </c>
      <c r="F114" s="388">
        <v>100000</v>
      </c>
      <c r="G114" s="388">
        <f>F114/7.5345</f>
        <v>13272.280841462605</v>
      </c>
      <c r="H114" s="388">
        <v>15000</v>
      </c>
      <c r="I114" s="388">
        <v>-1000</v>
      </c>
      <c r="J114" s="388">
        <f>SUM(H114+I114)</f>
        <v>14000</v>
      </c>
      <c r="K114" s="531">
        <f>J114*7.5345</f>
        <v>105483</v>
      </c>
      <c r="L114" s="373">
        <f t="shared" si="61"/>
        <v>93.333333333333329</v>
      </c>
    </row>
    <row r="115" spans="1:12" ht="15" thickTop="1" x14ac:dyDescent="0.2">
      <c r="A115" s="401"/>
      <c r="B115" s="451"/>
      <c r="C115" s="40"/>
      <c r="D115" s="396" t="s">
        <v>178</v>
      </c>
      <c r="E115" s="373"/>
      <c r="F115" s="372"/>
      <c r="G115" s="372"/>
      <c r="H115" s="372"/>
      <c r="I115" s="372"/>
      <c r="J115" s="372"/>
      <c r="K115" s="526"/>
      <c r="L115" s="843">
        <f>AVERAGE(J117/H117*100)</f>
        <v>46.666666666666664</v>
      </c>
    </row>
    <row r="116" spans="1:12" ht="14.25" x14ac:dyDescent="0.2">
      <c r="A116" s="401"/>
      <c r="B116" s="451"/>
      <c r="C116" s="40"/>
      <c r="D116" s="395" t="s">
        <v>256</v>
      </c>
      <c r="E116" s="363"/>
      <c r="F116" s="372"/>
      <c r="G116" s="372"/>
      <c r="H116" s="372"/>
      <c r="I116" s="372"/>
      <c r="J116" s="372"/>
      <c r="K116" s="526"/>
      <c r="L116" s="844"/>
    </row>
    <row r="117" spans="1:12" s="97" customFormat="1" ht="31.5" x14ac:dyDescent="0.25">
      <c r="A117" s="425"/>
      <c r="B117" s="452"/>
      <c r="D117" s="427" t="s">
        <v>421</v>
      </c>
      <c r="E117" s="426">
        <v>87000</v>
      </c>
      <c r="F117" s="424" t="e">
        <f t="shared" ref="F117:K119" si="80">SUM(F118)</f>
        <v>#REF!</v>
      </c>
      <c r="G117" s="424" t="e">
        <f t="shared" si="80"/>
        <v>#REF!</v>
      </c>
      <c r="H117" s="424">
        <f t="shared" si="80"/>
        <v>15000</v>
      </c>
      <c r="I117" s="424">
        <f t="shared" si="80"/>
        <v>-8000</v>
      </c>
      <c r="J117" s="424">
        <f t="shared" si="80"/>
        <v>7000</v>
      </c>
      <c r="K117" s="424" t="e">
        <f t="shared" si="80"/>
        <v>#REF!</v>
      </c>
      <c r="L117" s="845"/>
    </row>
    <row r="118" spans="1:12" s="28" customFormat="1" ht="15" x14ac:dyDescent="0.25">
      <c r="A118" s="358" t="s">
        <v>641</v>
      </c>
      <c r="B118" s="447"/>
      <c r="C118" s="354">
        <v>35</v>
      </c>
      <c r="D118" s="365" t="s">
        <v>75</v>
      </c>
      <c r="E118" s="362">
        <v>87000</v>
      </c>
      <c r="F118" s="362" t="e">
        <f t="shared" si="80"/>
        <v>#REF!</v>
      </c>
      <c r="G118" s="362" t="e">
        <f t="shared" si="80"/>
        <v>#REF!</v>
      </c>
      <c r="H118" s="362">
        <f t="shared" si="80"/>
        <v>15000</v>
      </c>
      <c r="I118" s="362">
        <f t="shared" si="80"/>
        <v>-8000</v>
      </c>
      <c r="J118" s="362">
        <f t="shared" si="80"/>
        <v>7000</v>
      </c>
      <c r="K118" s="530" t="e">
        <f t="shared" si="80"/>
        <v>#REF!</v>
      </c>
      <c r="L118" s="727">
        <f>AVERAGE(J118/H118*100)</f>
        <v>46.666666666666664</v>
      </c>
    </row>
    <row r="119" spans="1:12" ht="14.25" x14ac:dyDescent="0.2">
      <c r="A119" s="355" t="s">
        <v>641</v>
      </c>
      <c r="B119" s="446"/>
      <c r="C119" s="367">
        <v>352</v>
      </c>
      <c r="D119" s="368" t="s">
        <v>400</v>
      </c>
      <c r="E119" s="363">
        <v>87000</v>
      </c>
      <c r="F119" s="363" t="e">
        <f>SUM(F120+#REF!)</f>
        <v>#REF!</v>
      </c>
      <c r="G119" s="363" t="e">
        <f>SUM(G120+#REF!)</f>
        <v>#REF!</v>
      </c>
      <c r="H119" s="363">
        <f>SUM(H120)</f>
        <v>15000</v>
      </c>
      <c r="I119" s="363">
        <f t="shared" si="80"/>
        <v>-8000</v>
      </c>
      <c r="J119" s="363">
        <f t="shared" si="80"/>
        <v>7000</v>
      </c>
      <c r="K119" s="529" t="e">
        <f>SUM(K120+#REF!)</f>
        <v>#REF!</v>
      </c>
      <c r="L119" s="384">
        <f t="shared" ref="L119:L120" si="81">AVERAGE(J119/H119*100)</f>
        <v>46.666666666666664</v>
      </c>
    </row>
    <row r="120" spans="1:12" ht="14.25" customHeight="1" thickBot="1" x14ac:dyDescent="0.25">
      <c r="A120" s="355" t="s">
        <v>641</v>
      </c>
      <c r="B120" s="453"/>
      <c r="C120" s="399">
        <v>3523</v>
      </c>
      <c r="D120" s="370" t="s">
        <v>479</v>
      </c>
      <c r="E120" s="361">
        <v>87000</v>
      </c>
      <c r="F120" s="361">
        <v>50000</v>
      </c>
      <c r="G120" s="363">
        <f>F120/7.5345</f>
        <v>6636.1404207313026</v>
      </c>
      <c r="H120" s="363">
        <v>15000</v>
      </c>
      <c r="I120" s="363">
        <v>-8000</v>
      </c>
      <c r="J120" s="363">
        <f>SUM(H120+I120)</f>
        <v>7000</v>
      </c>
      <c r="K120" s="529">
        <f>J120*7.5345</f>
        <v>52741.5</v>
      </c>
      <c r="L120" s="384">
        <f t="shared" si="81"/>
        <v>46.666666666666664</v>
      </c>
    </row>
    <row r="121" spans="1:12" s="210" customFormat="1" ht="18.75" thickBot="1" x14ac:dyDescent="0.25">
      <c r="A121" s="866" t="s">
        <v>569</v>
      </c>
      <c r="B121" s="867"/>
      <c r="C121" s="867"/>
      <c r="D121" s="868"/>
      <c r="E121" s="541"/>
      <c r="F121" s="541">
        <f t="shared" ref="F121:H121" si="82">F124</f>
        <v>60000</v>
      </c>
      <c r="G121" s="541">
        <f t="shared" si="82"/>
        <v>7963.3685048775624</v>
      </c>
      <c r="H121" s="541">
        <f t="shared" si="82"/>
        <v>5200</v>
      </c>
      <c r="I121" s="541">
        <f t="shared" ref="I121:J121" si="83">I124</f>
        <v>-50</v>
      </c>
      <c r="J121" s="541">
        <f t="shared" si="83"/>
        <v>5150</v>
      </c>
      <c r="K121" s="546">
        <f t="shared" ref="K121" si="84">K124</f>
        <v>38802.675000000003</v>
      </c>
      <c r="L121" s="726">
        <f>AVERAGE(J121/H121*100)</f>
        <v>99.038461538461547</v>
      </c>
    </row>
    <row r="122" spans="1:12" ht="14.25" x14ac:dyDescent="0.2">
      <c r="A122" s="401"/>
      <c r="B122" s="40"/>
      <c r="C122" s="40"/>
      <c r="D122" s="395" t="s">
        <v>203</v>
      </c>
      <c r="E122" s="373">
        <v>25000</v>
      </c>
      <c r="F122" s="372"/>
      <c r="G122" s="372"/>
      <c r="H122" s="372"/>
      <c r="I122" s="372"/>
      <c r="J122" s="372"/>
      <c r="K122" s="526"/>
      <c r="L122" s="383"/>
    </row>
    <row r="123" spans="1:12" s="97" customFormat="1" ht="15.75" x14ac:dyDescent="0.25">
      <c r="A123" s="401"/>
      <c r="B123" s="40"/>
      <c r="C123" s="40"/>
      <c r="D123" s="395" t="s">
        <v>603</v>
      </c>
      <c r="E123" s="363"/>
      <c r="F123" s="372"/>
      <c r="G123" s="372"/>
      <c r="H123" s="372"/>
      <c r="I123" s="372"/>
      <c r="J123" s="372"/>
      <c r="K123" s="526"/>
      <c r="L123" s="383"/>
    </row>
    <row r="124" spans="1:12" s="28" customFormat="1" ht="31.5" x14ac:dyDescent="0.25">
      <c r="A124" s="425"/>
      <c r="B124" s="97"/>
      <c r="C124" s="97"/>
      <c r="D124" s="429" t="s">
        <v>422</v>
      </c>
      <c r="E124" s="426">
        <v>25000</v>
      </c>
      <c r="F124" s="424">
        <f t="shared" ref="F124:K126" si="85">SUM(F125)</f>
        <v>60000</v>
      </c>
      <c r="G124" s="424">
        <f t="shared" si="85"/>
        <v>7963.3685048775624</v>
      </c>
      <c r="H124" s="424">
        <f t="shared" si="85"/>
        <v>5200</v>
      </c>
      <c r="I124" s="424">
        <f t="shared" si="85"/>
        <v>-50</v>
      </c>
      <c r="J124" s="424">
        <f t="shared" si="85"/>
        <v>5150</v>
      </c>
      <c r="K124" s="527">
        <f t="shared" si="85"/>
        <v>38802.675000000003</v>
      </c>
      <c r="L124" s="727">
        <f>AVERAGE(J124/H124*100)</f>
        <v>99.038461538461547</v>
      </c>
    </row>
    <row r="125" spans="1:12" ht="15" x14ac:dyDescent="0.25">
      <c r="A125" s="358" t="s">
        <v>447</v>
      </c>
      <c r="B125" s="364"/>
      <c r="C125" s="377">
        <v>32</v>
      </c>
      <c r="D125" s="364" t="s">
        <v>180</v>
      </c>
      <c r="E125" s="362">
        <v>25000</v>
      </c>
      <c r="F125" s="362">
        <f t="shared" si="85"/>
        <v>60000</v>
      </c>
      <c r="G125" s="362">
        <f t="shared" si="85"/>
        <v>7963.3685048775624</v>
      </c>
      <c r="H125" s="362">
        <f t="shared" si="85"/>
        <v>5200</v>
      </c>
      <c r="I125" s="362">
        <f t="shared" si="85"/>
        <v>-50</v>
      </c>
      <c r="J125" s="362">
        <f t="shared" si="85"/>
        <v>5150</v>
      </c>
      <c r="K125" s="530">
        <f t="shared" si="85"/>
        <v>38802.675000000003</v>
      </c>
      <c r="L125" s="727">
        <f t="shared" ref="L125:L127" si="86">AVERAGE(J125/H125*100)</f>
        <v>99.038461538461547</v>
      </c>
    </row>
    <row r="126" spans="1:12" ht="14.25" x14ac:dyDescent="0.2">
      <c r="A126" s="355" t="s">
        <v>447</v>
      </c>
      <c r="B126" s="366"/>
      <c r="C126" s="375">
        <v>323</v>
      </c>
      <c r="D126" s="366" t="s">
        <v>56</v>
      </c>
      <c r="E126" s="363">
        <v>25000</v>
      </c>
      <c r="F126" s="363">
        <f t="shared" si="85"/>
        <v>60000</v>
      </c>
      <c r="G126" s="363">
        <f t="shared" si="85"/>
        <v>7963.3685048775624</v>
      </c>
      <c r="H126" s="363">
        <f t="shared" si="85"/>
        <v>5200</v>
      </c>
      <c r="I126" s="363">
        <f t="shared" si="85"/>
        <v>-50</v>
      </c>
      <c r="J126" s="363">
        <f t="shared" si="85"/>
        <v>5150</v>
      </c>
      <c r="K126" s="529">
        <f t="shared" si="85"/>
        <v>38802.675000000003</v>
      </c>
      <c r="L126" s="384">
        <f t="shared" si="86"/>
        <v>99.038461538461547</v>
      </c>
    </row>
    <row r="127" spans="1:12" s="440" customFormat="1" ht="15.75" thickBot="1" x14ac:dyDescent="0.3">
      <c r="A127" s="355" t="s">
        <v>447</v>
      </c>
      <c r="B127" s="453"/>
      <c r="C127" s="398">
        <v>3237</v>
      </c>
      <c r="D127" s="374" t="s">
        <v>62</v>
      </c>
      <c r="E127" s="361">
        <v>25000</v>
      </c>
      <c r="F127" s="361">
        <v>60000</v>
      </c>
      <c r="G127" s="363">
        <f>F127/7.5345</f>
        <v>7963.3685048775624</v>
      </c>
      <c r="H127" s="363">
        <v>5200</v>
      </c>
      <c r="I127" s="363">
        <v>-50</v>
      </c>
      <c r="J127" s="363">
        <f>SUM(H127+I127)</f>
        <v>5150</v>
      </c>
      <c r="K127" s="529">
        <f>J127*7.5345</f>
        <v>38802.675000000003</v>
      </c>
      <c r="L127" s="384">
        <f t="shared" si="86"/>
        <v>99.038461538461547</v>
      </c>
    </row>
    <row r="128" spans="1:12" s="210" customFormat="1" ht="18.75" thickBot="1" x14ac:dyDescent="0.25">
      <c r="A128" s="866" t="s">
        <v>570</v>
      </c>
      <c r="B128" s="867"/>
      <c r="C128" s="867"/>
      <c r="D128" s="868"/>
      <c r="E128" s="541">
        <v>60000</v>
      </c>
      <c r="F128" s="541">
        <f t="shared" ref="F128:H128" si="87">SUM(F131)</f>
        <v>25000</v>
      </c>
      <c r="G128" s="541">
        <f t="shared" si="87"/>
        <v>3318.0702103656513</v>
      </c>
      <c r="H128" s="541">
        <f t="shared" si="87"/>
        <v>4500</v>
      </c>
      <c r="I128" s="541">
        <f t="shared" ref="I128:J128" si="88">SUM(I131)</f>
        <v>-4200</v>
      </c>
      <c r="J128" s="541">
        <f t="shared" si="88"/>
        <v>300</v>
      </c>
      <c r="K128" s="546">
        <f t="shared" ref="K128" si="89">SUM(K131)</f>
        <v>2260.35</v>
      </c>
      <c r="L128" s="726">
        <f>AVERAGE(J128/H128*100)</f>
        <v>6.666666666666667</v>
      </c>
    </row>
    <row r="129" spans="1:12" ht="14.25" x14ac:dyDescent="0.2">
      <c r="A129" s="401"/>
      <c r="B129" s="40"/>
      <c r="C129" s="40"/>
      <c r="D129" s="395" t="s">
        <v>203</v>
      </c>
      <c r="E129" s="373"/>
      <c r="F129" s="372"/>
      <c r="G129" s="372"/>
      <c r="H129" s="372"/>
      <c r="I129" s="372"/>
      <c r="J129" s="372"/>
      <c r="K129" s="526"/>
      <c r="L129" s="862">
        <f>AVERAGE(J131/H131*100)</f>
        <v>6.666666666666667</v>
      </c>
    </row>
    <row r="130" spans="1:12" s="97" customFormat="1" ht="15.75" x14ac:dyDescent="0.25">
      <c r="A130" s="401"/>
      <c r="B130" s="40"/>
      <c r="C130" s="40"/>
      <c r="D130" s="395" t="s">
        <v>603</v>
      </c>
      <c r="E130" s="363"/>
      <c r="F130" s="372"/>
      <c r="G130" s="372"/>
      <c r="H130" s="372"/>
      <c r="I130" s="372"/>
      <c r="J130" s="372"/>
      <c r="K130" s="526"/>
      <c r="L130" s="844"/>
    </row>
    <row r="131" spans="1:12" s="28" customFormat="1" ht="15.75" x14ac:dyDescent="0.25">
      <c r="A131" s="425"/>
      <c r="B131" s="97"/>
      <c r="C131" s="97"/>
      <c r="D131" s="422" t="s">
        <v>423</v>
      </c>
      <c r="E131" s="426">
        <v>60000</v>
      </c>
      <c r="F131" s="424">
        <f t="shared" ref="F131:K132" si="90">SUM(F132)</f>
        <v>25000</v>
      </c>
      <c r="G131" s="424">
        <f t="shared" si="90"/>
        <v>3318.0702103656513</v>
      </c>
      <c r="H131" s="424">
        <f t="shared" si="90"/>
        <v>4500</v>
      </c>
      <c r="I131" s="424">
        <f t="shared" si="90"/>
        <v>-4200</v>
      </c>
      <c r="J131" s="424">
        <f t="shared" si="90"/>
        <v>300</v>
      </c>
      <c r="K131" s="527">
        <f t="shared" si="90"/>
        <v>2260.35</v>
      </c>
      <c r="L131" s="845"/>
    </row>
    <row r="132" spans="1:12" ht="15" x14ac:dyDescent="0.25">
      <c r="A132" s="358" t="s">
        <v>448</v>
      </c>
      <c r="B132" s="447"/>
      <c r="C132" s="377">
        <v>38</v>
      </c>
      <c r="D132" s="364" t="s">
        <v>198</v>
      </c>
      <c r="E132" s="362">
        <v>60000</v>
      </c>
      <c r="F132" s="362">
        <f t="shared" si="90"/>
        <v>25000</v>
      </c>
      <c r="G132" s="362">
        <f t="shared" si="90"/>
        <v>3318.0702103656513</v>
      </c>
      <c r="H132" s="362">
        <f t="shared" si="90"/>
        <v>4500</v>
      </c>
      <c r="I132" s="362">
        <f t="shared" si="90"/>
        <v>-4200</v>
      </c>
      <c r="J132" s="362">
        <f t="shared" si="90"/>
        <v>300</v>
      </c>
      <c r="K132" s="530">
        <f t="shared" si="90"/>
        <v>2260.35</v>
      </c>
      <c r="L132" s="727">
        <f>AVERAGE(J132/H132*100)</f>
        <v>6.666666666666667</v>
      </c>
    </row>
    <row r="133" spans="1:12" ht="14.25" x14ac:dyDescent="0.2">
      <c r="A133" s="355" t="s">
        <v>448</v>
      </c>
      <c r="B133" s="446"/>
      <c r="C133" s="375">
        <v>381</v>
      </c>
      <c r="D133" s="366" t="s">
        <v>37</v>
      </c>
      <c r="E133" s="363">
        <v>60000</v>
      </c>
      <c r="F133" s="363">
        <f t="shared" ref="F133:J133" si="91">SUM(F134:F135)</f>
        <v>25000</v>
      </c>
      <c r="G133" s="363">
        <f t="shared" si="91"/>
        <v>3318.0702103656513</v>
      </c>
      <c r="H133" s="363">
        <f t="shared" si="91"/>
        <v>4500</v>
      </c>
      <c r="I133" s="363">
        <f t="shared" si="91"/>
        <v>-4200</v>
      </c>
      <c r="J133" s="363">
        <f t="shared" si="91"/>
        <v>300</v>
      </c>
      <c r="K133" s="529">
        <f t="shared" ref="K133" si="92">SUM(K134:K135)</f>
        <v>2260.35</v>
      </c>
      <c r="L133" s="384">
        <f t="shared" ref="L133:L135" si="93">AVERAGE(J133/H133*100)</f>
        <v>6.666666666666667</v>
      </c>
    </row>
    <row r="134" spans="1:12" ht="14.25" x14ac:dyDescent="0.2">
      <c r="A134" s="355" t="s">
        <v>448</v>
      </c>
      <c r="B134" s="446"/>
      <c r="C134" s="375">
        <v>3811</v>
      </c>
      <c r="D134" s="366" t="s">
        <v>402</v>
      </c>
      <c r="E134" s="363">
        <v>10000</v>
      </c>
      <c r="F134" s="363">
        <v>0</v>
      </c>
      <c r="G134" s="363">
        <f>F134/7.5345</f>
        <v>0</v>
      </c>
      <c r="H134" s="363">
        <v>1000</v>
      </c>
      <c r="I134" s="363">
        <v>-700</v>
      </c>
      <c r="J134" s="363">
        <f>SUM(H134+I134)</f>
        <v>300</v>
      </c>
      <c r="K134" s="529">
        <f>J134*7.5345</f>
        <v>2260.35</v>
      </c>
      <c r="L134" s="384">
        <f t="shared" si="93"/>
        <v>30</v>
      </c>
    </row>
    <row r="135" spans="1:12" s="440" customFormat="1" ht="15.75" thickBot="1" x14ac:dyDescent="0.3">
      <c r="A135" s="355" t="s">
        <v>448</v>
      </c>
      <c r="B135" s="453"/>
      <c r="C135" s="398">
        <v>3812</v>
      </c>
      <c r="D135" s="374" t="s">
        <v>206</v>
      </c>
      <c r="E135" s="361">
        <v>50000</v>
      </c>
      <c r="F135" s="361">
        <v>25000</v>
      </c>
      <c r="G135" s="363">
        <f>F135/7.5345</f>
        <v>3318.0702103656513</v>
      </c>
      <c r="H135" s="612">
        <v>3500</v>
      </c>
      <c r="I135" s="612">
        <v>-3500</v>
      </c>
      <c r="J135" s="363">
        <f>SUM(H135+I135)</f>
        <v>0</v>
      </c>
      <c r="K135" s="529">
        <f>J135*7.5345</f>
        <v>0</v>
      </c>
      <c r="L135" s="384">
        <f t="shared" si="93"/>
        <v>0</v>
      </c>
    </row>
    <row r="136" spans="1:12" s="112" customFormat="1" ht="18.75" thickBot="1" x14ac:dyDescent="0.25">
      <c r="A136" s="852" t="s">
        <v>571</v>
      </c>
      <c r="B136" s="853"/>
      <c r="C136" s="853"/>
      <c r="D136" s="854"/>
      <c r="E136" s="541">
        <v>5000</v>
      </c>
      <c r="F136" s="541">
        <f t="shared" ref="F136:H136" si="94">SUM(F139)</f>
        <v>5000</v>
      </c>
      <c r="G136" s="541">
        <f t="shared" si="94"/>
        <v>663.61404207313024</v>
      </c>
      <c r="H136" s="541">
        <f t="shared" si="94"/>
        <v>1000</v>
      </c>
      <c r="I136" s="541">
        <f t="shared" ref="I136:J136" si="95">SUM(I139)</f>
        <v>750</v>
      </c>
      <c r="J136" s="541">
        <f t="shared" si="95"/>
        <v>1750</v>
      </c>
      <c r="K136" s="546">
        <f t="shared" ref="K136" si="96">SUM(K139)</f>
        <v>13185.375</v>
      </c>
      <c r="L136" s="726">
        <f>AVERAGE(J136/H136*100)</f>
        <v>175</v>
      </c>
    </row>
    <row r="137" spans="1:12" ht="14.25" x14ac:dyDescent="0.2">
      <c r="A137" s="401"/>
      <c r="B137" s="40"/>
      <c r="C137" s="40"/>
      <c r="D137" s="395" t="s">
        <v>203</v>
      </c>
      <c r="E137" s="373"/>
      <c r="F137" s="372"/>
      <c r="G137" s="372"/>
      <c r="H137" s="372"/>
      <c r="I137" s="372"/>
      <c r="J137" s="372"/>
      <c r="K137" s="526"/>
      <c r="L137" s="862">
        <f>AVERAGE(J139/H139*100)</f>
        <v>175</v>
      </c>
    </row>
    <row r="138" spans="1:12" s="97" customFormat="1" ht="15.75" x14ac:dyDescent="0.25">
      <c r="A138" s="401"/>
      <c r="B138" s="40"/>
      <c r="C138" s="40"/>
      <c r="D138" s="395" t="s">
        <v>603</v>
      </c>
      <c r="E138" s="363"/>
      <c r="F138" s="372"/>
      <c r="G138" s="372"/>
      <c r="H138" s="372"/>
      <c r="I138" s="372"/>
      <c r="J138" s="372"/>
      <c r="K138" s="526"/>
      <c r="L138" s="844"/>
    </row>
    <row r="139" spans="1:12" s="28" customFormat="1" ht="15.75" x14ac:dyDescent="0.25">
      <c r="A139" s="425"/>
      <c r="B139" s="97"/>
      <c r="C139" s="97"/>
      <c r="D139" s="422" t="s">
        <v>424</v>
      </c>
      <c r="E139" s="426">
        <v>5000</v>
      </c>
      <c r="F139" s="424">
        <f t="shared" ref="F139:K141" si="97">SUM(F140)</f>
        <v>5000</v>
      </c>
      <c r="G139" s="424">
        <f t="shared" si="97"/>
        <v>663.61404207313024</v>
      </c>
      <c r="H139" s="424">
        <f t="shared" si="97"/>
        <v>1000</v>
      </c>
      <c r="I139" s="424">
        <f t="shared" si="97"/>
        <v>750</v>
      </c>
      <c r="J139" s="424">
        <f t="shared" si="97"/>
        <v>1750</v>
      </c>
      <c r="K139" s="527">
        <f t="shared" si="97"/>
        <v>13185.375</v>
      </c>
      <c r="L139" s="845"/>
    </row>
    <row r="140" spans="1:12" ht="15" x14ac:dyDescent="0.25">
      <c r="A140" s="358" t="s">
        <v>449</v>
      </c>
      <c r="B140" s="364"/>
      <c r="C140" s="377">
        <v>38</v>
      </c>
      <c r="D140" s="364" t="s">
        <v>198</v>
      </c>
      <c r="E140" s="362">
        <v>5000</v>
      </c>
      <c r="F140" s="362">
        <f t="shared" si="97"/>
        <v>5000</v>
      </c>
      <c r="G140" s="362">
        <f t="shared" si="97"/>
        <v>663.61404207313024</v>
      </c>
      <c r="H140" s="362">
        <f t="shared" si="97"/>
        <v>1000</v>
      </c>
      <c r="I140" s="362">
        <f t="shared" si="97"/>
        <v>750</v>
      </c>
      <c r="J140" s="362">
        <f t="shared" si="97"/>
        <v>1750</v>
      </c>
      <c r="K140" s="530">
        <f t="shared" si="97"/>
        <v>13185.375</v>
      </c>
      <c r="L140" s="727">
        <f>AVERAGE(J140/H140*100)</f>
        <v>175</v>
      </c>
    </row>
    <row r="141" spans="1:12" ht="14.25" x14ac:dyDescent="0.2">
      <c r="A141" s="355" t="s">
        <v>449</v>
      </c>
      <c r="B141" s="366"/>
      <c r="C141" s="375">
        <v>381</v>
      </c>
      <c r="D141" s="366" t="s">
        <v>37</v>
      </c>
      <c r="E141" s="363">
        <v>5000</v>
      </c>
      <c r="F141" s="363">
        <f t="shared" si="97"/>
        <v>5000</v>
      </c>
      <c r="G141" s="363">
        <f t="shared" si="97"/>
        <v>663.61404207313024</v>
      </c>
      <c r="H141" s="363">
        <f t="shared" si="97"/>
        <v>1000</v>
      </c>
      <c r="I141" s="363">
        <f t="shared" si="97"/>
        <v>750</v>
      </c>
      <c r="J141" s="363">
        <f t="shared" si="97"/>
        <v>1750</v>
      </c>
      <c r="K141" s="529">
        <f t="shared" si="97"/>
        <v>13185.375</v>
      </c>
      <c r="L141" s="384">
        <f t="shared" ref="L141:L142" si="98">AVERAGE(J141/H141*100)</f>
        <v>175</v>
      </c>
    </row>
    <row r="142" spans="1:12" s="440" customFormat="1" ht="15.75" thickBot="1" x14ac:dyDescent="0.3">
      <c r="A142" s="355" t="s">
        <v>449</v>
      </c>
      <c r="B142" s="453"/>
      <c r="C142" s="398">
        <v>3811</v>
      </c>
      <c r="D142" s="374" t="s">
        <v>403</v>
      </c>
      <c r="E142" s="361">
        <v>5000</v>
      </c>
      <c r="F142" s="361">
        <v>5000</v>
      </c>
      <c r="G142" s="363">
        <f>F142/7.5345</f>
        <v>663.61404207313024</v>
      </c>
      <c r="H142" s="363">
        <v>1000</v>
      </c>
      <c r="I142" s="363">
        <v>750</v>
      </c>
      <c r="J142" s="363">
        <f>SUM(H142+I142)</f>
        <v>1750</v>
      </c>
      <c r="K142" s="529">
        <f>J142*7.5345</f>
        <v>13185.375</v>
      </c>
      <c r="L142" s="384">
        <f t="shared" si="98"/>
        <v>175</v>
      </c>
    </row>
    <row r="143" spans="1:12" s="210" customFormat="1" ht="18.75" thickBot="1" x14ac:dyDescent="0.25">
      <c r="A143" s="852" t="s">
        <v>572</v>
      </c>
      <c r="B143" s="853"/>
      <c r="C143" s="853"/>
      <c r="D143" s="854"/>
      <c r="E143" s="541">
        <v>5000</v>
      </c>
      <c r="F143" s="541">
        <f t="shared" ref="F143:H143" si="99">SUM(F146)</f>
        <v>5000</v>
      </c>
      <c r="G143" s="541">
        <f t="shared" si="99"/>
        <v>663.61404207313024</v>
      </c>
      <c r="H143" s="541">
        <f t="shared" si="99"/>
        <v>1500</v>
      </c>
      <c r="I143" s="541">
        <f t="shared" ref="I143:K143" si="100">SUM(I146)</f>
        <v>-1000</v>
      </c>
      <c r="J143" s="541">
        <f t="shared" si="100"/>
        <v>500</v>
      </c>
      <c r="K143" s="546">
        <f t="shared" si="100"/>
        <v>3767.25</v>
      </c>
      <c r="L143" s="726">
        <f>AVERAGE(J143/H143*100)</f>
        <v>33.333333333333329</v>
      </c>
    </row>
    <row r="144" spans="1:12" ht="28.5" x14ac:dyDescent="0.2">
      <c r="A144" s="401"/>
      <c r="B144" s="40"/>
      <c r="C144" s="40"/>
      <c r="D144" s="396" t="s">
        <v>406</v>
      </c>
      <c r="E144" s="373"/>
      <c r="F144" s="372"/>
      <c r="G144" s="372"/>
      <c r="H144" s="372"/>
      <c r="I144" s="372"/>
      <c r="J144" s="372"/>
      <c r="K144" s="526"/>
      <c r="L144" s="862">
        <f>AVERAGE(J146/H146*100)</f>
        <v>33.333333333333329</v>
      </c>
    </row>
    <row r="145" spans="1:12" s="97" customFormat="1" ht="15.75" x14ac:dyDescent="0.25">
      <c r="A145" s="401"/>
      <c r="B145" s="40"/>
      <c r="C145" s="40"/>
      <c r="D145" s="395" t="s">
        <v>603</v>
      </c>
      <c r="E145" s="363"/>
      <c r="F145" s="372"/>
      <c r="G145" s="372"/>
      <c r="H145" s="372"/>
      <c r="I145" s="372"/>
      <c r="J145" s="372"/>
      <c r="K145" s="526"/>
      <c r="L145" s="844"/>
    </row>
    <row r="146" spans="1:12" s="97" customFormat="1" ht="15.75" x14ac:dyDescent="0.25">
      <c r="A146" s="425"/>
      <c r="D146" s="422" t="s">
        <v>562</v>
      </c>
      <c r="E146" s="426">
        <v>5000</v>
      </c>
      <c r="F146" s="424">
        <f t="shared" ref="F146:K148" si="101">SUM(F147)</f>
        <v>5000</v>
      </c>
      <c r="G146" s="424">
        <f t="shared" si="101"/>
        <v>663.61404207313024</v>
      </c>
      <c r="H146" s="424">
        <f t="shared" si="101"/>
        <v>1500</v>
      </c>
      <c r="I146" s="424">
        <f t="shared" si="101"/>
        <v>-1000</v>
      </c>
      <c r="J146" s="424">
        <f t="shared" si="101"/>
        <v>500</v>
      </c>
      <c r="K146" s="527">
        <f t="shared" si="101"/>
        <v>3767.25</v>
      </c>
      <c r="L146" s="845"/>
    </row>
    <row r="147" spans="1:12" s="28" customFormat="1" ht="15" x14ac:dyDescent="0.25">
      <c r="A147" s="358" t="s">
        <v>450</v>
      </c>
      <c r="B147" s="364"/>
      <c r="C147" s="377">
        <v>38</v>
      </c>
      <c r="D147" s="364" t="s">
        <v>198</v>
      </c>
      <c r="E147" s="362">
        <v>5000</v>
      </c>
      <c r="F147" s="362">
        <f t="shared" si="101"/>
        <v>5000</v>
      </c>
      <c r="G147" s="362">
        <f t="shared" si="101"/>
        <v>663.61404207313024</v>
      </c>
      <c r="H147" s="362">
        <f t="shared" si="101"/>
        <v>1500</v>
      </c>
      <c r="I147" s="362">
        <f t="shared" si="101"/>
        <v>-1000</v>
      </c>
      <c r="J147" s="362">
        <f t="shared" si="101"/>
        <v>500</v>
      </c>
      <c r="K147" s="530">
        <f t="shared" si="101"/>
        <v>3767.25</v>
      </c>
      <c r="L147" s="727">
        <f>AVERAGE(J147/H147*100)</f>
        <v>33.333333333333329</v>
      </c>
    </row>
    <row r="148" spans="1:12" ht="14.25" x14ac:dyDescent="0.2">
      <c r="A148" s="355" t="s">
        <v>450</v>
      </c>
      <c r="B148" s="366"/>
      <c r="C148" s="375">
        <v>381</v>
      </c>
      <c r="D148" s="366" t="s">
        <v>37</v>
      </c>
      <c r="E148" s="363">
        <v>5000</v>
      </c>
      <c r="F148" s="363">
        <f t="shared" si="101"/>
        <v>5000</v>
      </c>
      <c r="G148" s="363">
        <f t="shared" si="101"/>
        <v>663.61404207313024</v>
      </c>
      <c r="H148" s="363">
        <f t="shared" si="101"/>
        <v>1500</v>
      </c>
      <c r="I148" s="363">
        <f t="shared" si="101"/>
        <v>-1000</v>
      </c>
      <c r="J148" s="363">
        <f t="shared" si="101"/>
        <v>500</v>
      </c>
      <c r="K148" s="529">
        <f t="shared" si="101"/>
        <v>3767.25</v>
      </c>
      <c r="L148" s="384">
        <f t="shared" ref="L148:L149" si="102">AVERAGE(J148/H148*100)</f>
        <v>33.333333333333329</v>
      </c>
    </row>
    <row r="149" spans="1:12" ht="15" thickBot="1" x14ac:dyDescent="0.25">
      <c r="A149" s="355" t="s">
        <v>450</v>
      </c>
      <c r="B149" s="453"/>
      <c r="C149" s="398">
        <v>3811</v>
      </c>
      <c r="D149" s="374" t="s">
        <v>403</v>
      </c>
      <c r="E149" s="361">
        <v>5000</v>
      </c>
      <c r="F149" s="361">
        <v>5000</v>
      </c>
      <c r="G149" s="363">
        <f>F149/7.5345</f>
        <v>663.61404207313024</v>
      </c>
      <c r="H149" s="363">
        <v>1500</v>
      </c>
      <c r="I149" s="363">
        <v>-1000</v>
      </c>
      <c r="J149" s="363">
        <f>SUM(H149+I149)</f>
        <v>500</v>
      </c>
      <c r="K149" s="529">
        <f>J149*7.5345</f>
        <v>3767.25</v>
      </c>
      <c r="L149" s="384">
        <f t="shared" si="102"/>
        <v>33.333333333333329</v>
      </c>
    </row>
    <row r="150" spans="1:12" ht="18.75" thickBot="1" x14ac:dyDescent="0.25">
      <c r="A150" s="866" t="s">
        <v>573</v>
      </c>
      <c r="B150" s="867"/>
      <c r="C150" s="867"/>
      <c r="D150" s="868"/>
      <c r="E150" s="541">
        <f>SUM(E154+E175+E181)</f>
        <v>335000</v>
      </c>
      <c r="F150" s="541">
        <f>SUM(F154+F175+F181)</f>
        <v>4275000</v>
      </c>
      <c r="G150" s="541">
        <f>SUM(G154+G175+G181)</f>
        <v>567390.00597252615</v>
      </c>
      <c r="H150" s="541">
        <f t="shared" ref="H150:K150" si="103">SUM(H154+H162+H175+H181)</f>
        <v>372500</v>
      </c>
      <c r="I150" s="541">
        <f t="shared" si="103"/>
        <v>6850</v>
      </c>
      <c r="J150" s="541">
        <f t="shared" si="103"/>
        <v>379350</v>
      </c>
      <c r="K150" s="546">
        <f t="shared" si="103"/>
        <v>2818279.7249999996</v>
      </c>
      <c r="L150" s="726">
        <f>AVERAGE(J150/H150*100)</f>
        <v>101.83892617449663</v>
      </c>
    </row>
    <row r="151" spans="1:12" s="210" customFormat="1" ht="14.25" x14ac:dyDescent="0.2">
      <c r="A151" s="401"/>
      <c r="B151" s="40"/>
      <c r="C151" s="40"/>
      <c r="D151" s="396" t="s">
        <v>208</v>
      </c>
      <c r="E151" s="373"/>
      <c r="F151" s="372"/>
      <c r="G151" s="372"/>
      <c r="H151" s="614"/>
      <c r="I151" s="372"/>
      <c r="J151" s="372"/>
      <c r="K151" s="526"/>
      <c r="L151" s="372"/>
    </row>
    <row r="152" spans="1:12" s="210" customFormat="1" ht="14.25" x14ac:dyDescent="0.2">
      <c r="A152" s="401"/>
      <c r="B152" s="40"/>
      <c r="C152" s="40"/>
      <c r="D152" s="395" t="s">
        <v>607</v>
      </c>
      <c r="E152" s="363"/>
      <c r="F152" s="372"/>
      <c r="G152" s="542"/>
      <c r="H152" s="615"/>
      <c r="I152" s="542"/>
      <c r="J152" s="542"/>
      <c r="K152" s="559"/>
      <c r="L152" s="542"/>
    </row>
    <row r="153" spans="1:12" s="210" customFormat="1" ht="15.75" x14ac:dyDescent="0.25">
      <c r="A153" s="425"/>
      <c r="B153" s="97"/>
      <c r="C153" s="97"/>
      <c r="D153" s="869" t="s">
        <v>425</v>
      </c>
      <c r="E153" s="426"/>
      <c r="F153" s="428"/>
      <c r="G153" s="545"/>
      <c r="H153" s="616"/>
      <c r="I153" s="545"/>
      <c r="J153" s="545"/>
      <c r="K153" s="560"/>
      <c r="L153" s="545"/>
    </row>
    <row r="154" spans="1:12" s="97" customFormat="1" ht="15.75" x14ac:dyDescent="0.25">
      <c r="A154" s="425"/>
      <c r="D154" s="870"/>
      <c r="E154" s="426">
        <v>310000</v>
      </c>
      <c r="F154" s="424">
        <f t="shared" ref="F154:K155" si="104">SUM(F155)</f>
        <v>4180000</v>
      </c>
      <c r="G154" s="543">
        <f t="shared" si="104"/>
        <v>554781.33917313674</v>
      </c>
      <c r="H154" s="617">
        <f>SUM(H155)</f>
        <v>66000</v>
      </c>
      <c r="I154" s="617">
        <f t="shared" ref="I154:J155" si="105">SUM(I155)</f>
        <v>11800</v>
      </c>
      <c r="J154" s="617">
        <f t="shared" si="105"/>
        <v>77800</v>
      </c>
      <c r="K154" s="561">
        <f t="shared" si="104"/>
        <v>546251.25</v>
      </c>
      <c r="L154" s="611">
        <f t="shared" ref="L154:L157" si="106">AVERAGE(J154/H154*100)</f>
        <v>117.87878787878788</v>
      </c>
    </row>
    <row r="155" spans="1:12" s="28" customFormat="1" ht="15" x14ac:dyDescent="0.25">
      <c r="A155" s="358" t="s">
        <v>451</v>
      </c>
      <c r="B155" s="364"/>
      <c r="C155" s="354">
        <v>37</v>
      </c>
      <c r="D155" s="365" t="s">
        <v>77</v>
      </c>
      <c r="E155" s="362">
        <v>310000</v>
      </c>
      <c r="F155" s="362">
        <f t="shared" si="104"/>
        <v>4180000</v>
      </c>
      <c r="G155" s="544">
        <f t="shared" si="104"/>
        <v>554781.33917313674</v>
      </c>
      <c r="H155" s="544">
        <f>SUM(H156)</f>
        <v>66000</v>
      </c>
      <c r="I155" s="544">
        <f t="shared" si="105"/>
        <v>11800</v>
      </c>
      <c r="J155" s="544">
        <f t="shared" si="105"/>
        <v>77800</v>
      </c>
      <c r="K155" s="562">
        <f t="shared" si="104"/>
        <v>546251.25</v>
      </c>
      <c r="L155" s="362">
        <f t="shared" si="106"/>
        <v>117.87878787878788</v>
      </c>
    </row>
    <row r="156" spans="1:12" ht="14.25" x14ac:dyDescent="0.2">
      <c r="A156" s="355" t="s">
        <v>451</v>
      </c>
      <c r="B156" s="446"/>
      <c r="C156" s="367">
        <v>372</v>
      </c>
      <c r="D156" s="368" t="s">
        <v>77</v>
      </c>
      <c r="E156" s="363">
        <v>310000</v>
      </c>
      <c r="F156" s="363">
        <f>SUM(F157:F172)</f>
        <v>4180000</v>
      </c>
      <c r="G156" s="518">
        <f>SUM(G157:G172)</f>
        <v>554781.33917313674</v>
      </c>
      <c r="H156" s="518">
        <f t="shared" ref="H156:K156" si="107">SUM(H157:H159)</f>
        <v>66000</v>
      </c>
      <c r="I156" s="518">
        <f t="shared" si="107"/>
        <v>11800</v>
      </c>
      <c r="J156" s="518">
        <f t="shared" si="107"/>
        <v>77800</v>
      </c>
      <c r="K156" s="592">
        <f t="shared" si="107"/>
        <v>546251.25</v>
      </c>
      <c r="L156" s="363">
        <f t="shared" si="106"/>
        <v>117.87878787878788</v>
      </c>
    </row>
    <row r="157" spans="1:12" ht="14.25" x14ac:dyDescent="0.2">
      <c r="A157" s="355" t="s">
        <v>451</v>
      </c>
      <c r="B157" s="446"/>
      <c r="C157" s="367">
        <v>3721</v>
      </c>
      <c r="D157" s="368" t="s">
        <v>412</v>
      </c>
      <c r="E157" s="363">
        <v>240000</v>
      </c>
      <c r="F157" s="363">
        <v>190000</v>
      </c>
      <c r="G157" s="518">
        <f t="shared" ref="G157:G172" si="108">F157/7.5345</f>
        <v>25217.333598778951</v>
      </c>
      <c r="H157" s="518">
        <v>15000</v>
      </c>
      <c r="I157" s="518">
        <v>2500</v>
      </c>
      <c r="J157" s="518">
        <f>SUM(H157+I157)</f>
        <v>17500</v>
      </c>
      <c r="K157" s="529">
        <f t="shared" ref="K157:K172" si="109">J157*7.5345</f>
        <v>131853.75</v>
      </c>
      <c r="L157" s="363">
        <f t="shared" si="106"/>
        <v>116.66666666666667</v>
      </c>
    </row>
    <row r="158" spans="1:12" ht="29.25" customHeight="1" x14ac:dyDescent="0.2">
      <c r="A158" s="355" t="s">
        <v>451</v>
      </c>
      <c r="B158" s="446"/>
      <c r="C158" s="376">
        <v>3721</v>
      </c>
      <c r="D158" s="517" t="s">
        <v>470</v>
      </c>
      <c r="E158" s="518">
        <v>240000</v>
      </c>
      <c r="F158" s="518">
        <v>150000</v>
      </c>
      <c r="G158" s="518">
        <f t="shared" si="108"/>
        <v>19908.421262193908</v>
      </c>
      <c r="H158" s="518">
        <v>48000</v>
      </c>
      <c r="I158" s="518">
        <v>7000</v>
      </c>
      <c r="J158" s="518">
        <f t="shared" ref="J158:J159" si="110">SUM(H158+I158)</f>
        <v>55000</v>
      </c>
      <c r="K158" s="592">
        <f t="shared" si="109"/>
        <v>414397.5</v>
      </c>
      <c r="L158" s="380">
        <f>AVERAGE(J158/H158*100)</f>
        <v>114.58333333333333</v>
      </c>
    </row>
    <row r="159" spans="1:12" s="210" customFormat="1" ht="29.25" thickBot="1" x14ac:dyDescent="0.25">
      <c r="A159" s="355" t="s">
        <v>451</v>
      </c>
      <c r="B159" s="448"/>
      <c r="C159" s="519">
        <v>3722</v>
      </c>
      <c r="D159" s="520" t="s">
        <v>553</v>
      </c>
      <c r="E159" s="521"/>
      <c r="F159" s="521"/>
      <c r="G159" s="521"/>
      <c r="H159" s="521">
        <v>3000</v>
      </c>
      <c r="I159" s="521">
        <v>2300</v>
      </c>
      <c r="J159" s="521">
        <f t="shared" si="110"/>
        <v>5300</v>
      </c>
      <c r="K159" s="593"/>
      <c r="L159" s="389">
        <f>AVERAGE(J159/H159*100)</f>
        <v>176.66666666666666</v>
      </c>
    </row>
    <row r="160" spans="1:12" s="210" customFormat="1" ht="15" thickTop="1" x14ac:dyDescent="0.2">
      <c r="A160" s="401"/>
      <c r="B160" s="451"/>
      <c r="C160" s="40"/>
      <c r="D160" s="396" t="s">
        <v>208</v>
      </c>
      <c r="E160" s="373"/>
      <c r="F160" s="372"/>
      <c r="G160" s="372"/>
      <c r="H160" s="372"/>
      <c r="I160" s="372"/>
      <c r="J160" s="372"/>
      <c r="K160" s="526"/>
      <c r="L160" s="843">
        <f>AVERAGE(J162/H162*100)</f>
        <v>99.52461799660442</v>
      </c>
    </row>
    <row r="161" spans="1:12" s="210" customFormat="1" ht="14.25" x14ac:dyDescent="0.2">
      <c r="A161" s="401"/>
      <c r="B161" s="451"/>
      <c r="C161" s="40"/>
      <c r="D161" s="395" t="s">
        <v>607</v>
      </c>
      <c r="E161" s="363"/>
      <c r="F161" s="372"/>
      <c r="G161" s="372"/>
      <c r="H161" s="372"/>
      <c r="I161" s="372"/>
      <c r="J161" s="372"/>
      <c r="K161" s="526"/>
      <c r="L161" s="844"/>
    </row>
    <row r="162" spans="1:12" s="210" customFormat="1" ht="15.75" x14ac:dyDescent="0.25">
      <c r="A162" s="425"/>
      <c r="B162" s="452"/>
      <c r="C162" s="97"/>
      <c r="D162" s="429" t="s">
        <v>516</v>
      </c>
      <c r="E162" s="426">
        <v>15000</v>
      </c>
      <c r="F162" s="424">
        <f>SUM(F168)</f>
        <v>570000</v>
      </c>
      <c r="G162" s="424">
        <f>SUM(G168)</f>
        <v>75652.000796336841</v>
      </c>
      <c r="H162" s="424">
        <f>SUM(H163)</f>
        <v>294500</v>
      </c>
      <c r="I162" s="424">
        <f t="shared" ref="I162:J162" si="111">SUM(I163)</f>
        <v>-1400</v>
      </c>
      <c r="J162" s="424">
        <f t="shared" si="111"/>
        <v>293100</v>
      </c>
      <c r="K162" s="527">
        <f t="shared" ref="K162" si="112">SUM(K163)</f>
        <v>2208361.9499999997</v>
      </c>
      <c r="L162" s="845"/>
    </row>
    <row r="163" spans="1:12" s="210" customFormat="1" ht="15" x14ac:dyDescent="0.25">
      <c r="A163" s="358" t="s">
        <v>519</v>
      </c>
      <c r="B163" s="364"/>
      <c r="C163" s="354">
        <v>37</v>
      </c>
      <c r="D163" s="365" t="s">
        <v>77</v>
      </c>
      <c r="E163" s="362">
        <v>310000</v>
      </c>
      <c r="F163" s="362">
        <f t="shared" ref="F163:K163" si="113">SUM(F164)</f>
        <v>1140000</v>
      </c>
      <c r="G163" s="544">
        <f t="shared" si="113"/>
        <v>151304.00159267371</v>
      </c>
      <c r="H163" s="544">
        <f t="shared" si="113"/>
        <v>294500</v>
      </c>
      <c r="I163" s="544">
        <f t="shared" si="113"/>
        <v>-1400</v>
      </c>
      <c r="J163" s="544">
        <f t="shared" si="113"/>
        <v>293100</v>
      </c>
      <c r="K163" s="562">
        <f t="shared" si="113"/>
        <v>2208361.9499999997</v>
      </c>
      <c r="L163" s="727">
        <f>AVERAGE(J163/H163*100)</f>
        <v>99.52461799660442</v>
      </c>
    </row>
    <row r="164" spans="1:12" s="210" customFormat="1" ht="14.25" x14ac:dyDescent="0.2">
      <c r="A164" s="355" t="s">
        <v>519</v>
      </c>
      <c r="B164" s="446"/>
      <c r="C164" s="367">
        <v>372</v>
      </c>
      <c r="D164" s="368" t="s">
        <v>77</v>
      </c>
      <c r="E164" s="363">
        <v>310000</v>
      </c>
      <c r="F164" s="363">
        <f>SUM(F168:F184)</f>
        <v>1140000</v>
      </c>
      <c r="G164" s="518">
        <f>SUM(G168:G184)</f>
        <v>151304.00159267371</v>
      </c>
      <c r="H164" s="518">
        <f>SUM(H165:H172)</f>
        <v>294500</v>
      </c>
      <c r="I164" s="518">
        <f t="shared" ref="I164:J164" si="114">SUM(I165:I172)</f>
        <v>-1400</v>
      </c>
      <c r="J164" s="518">
        <f t="shared" si="114"/>
        <v>293100</v>
      </c>
      <c r="K164" s="592">
        <f t="shared" ref="K164" si="115">SUM(K165:K172)</f>
        <v>2208361.9499999997</v>
      </c>
      <c r="L164" s="384">
        <f t="shared" ref="L164:L172" si="116">AVERAGE(J164/H164*100)</f>
        <v>99.52461799660442</v>
      </c>
    </row>
    <row r="165" spans="1:12" s="587" customFormat="1" ht="15" thickBot="1" x14ac:dyDescent="0.25">
      <c r="A165" s="355" t="s">
        <v>519</v>
      </c>
      <c r="B165" s="446"/>
      <c r="C165" s="376">
        <v>3721</v>
      </c>
      <c r="D165" s="517" t="s">
        <v>505</v>
      </c>
      <c r="E165" s="518">
        <v>240000</v>
      </c>
      <c r="F165" s="518">
        <v>80000</v>
      </c>
      <c r="G165" s="518">
        <f>F165/7.5345</f>
        <v>10617.824673170084</v>
      </c>
      <c r="H165" s="518">
        <v>15000</v>
      </c>
      <c r="I165" s="518">
        <v>0</v>
      </c>
      <c r="J165" s="518">
        <f>SUM(H165+I165)</f>
        <v>15000</v>
      </c>
      <c r="K165" s="592">
        <f>J165*7.5345</f>
        <v>113017.5</v>
      </c>
      <c r="L165" s="384">
        <f t="shared" si="116"/>
        <v>100</v>
      </c>
    </row>
    <row r="166" spans="1:12" s="97" customFormat="1" ht="16.5" thickTop="1" x14ac:dyDescent="0.25">
      <c r="A166" s="355" t="s">
        <v>519</v>
      </c>
      <c r="B166" s="446"/>
      <c r="C166" s="376">
        <v>3721</v>
      </c>
      <c r="D166" s="517" t="s">
        <v>506</v>
      </c>
      <c r="E166" s="518">
        <v>240000</v>
      </c>
      <c r="F166" s="518">
        <v>50000</v>
      </c>
      <c r="G166" s="518">
        <f>F166/7.5345</f>
        <v>6636.1404207313026</v>
      </c>
      <c r="H166" s="518">
        <v>12000</v>
      </c>
      <c r="I166" s="518">
        <v>-150</v>
      </c>
      <c r="J166" s="518">
        <f t="shared" ref="J166:J172" si="117">SUM(H166+I166)</f>
        <v>11850</v>
      </c>
      <c r="K166" s="592">
        <f>J166*7.5345</f>
        <v>89283.825000000012</v>
      </c>
      <c r="L166" s="384">
        <f t="shared" si="116"/>
        <v>98.75</v>
      </c>
    </row>
    <row r="167" spans="1:12" s="28" customFormat="1" ht="14.25" x14ac:dyDescent="0.2">
      <c r="A167" s="355" t="s">
        <v>519</v>
      </c>
      <c r="B167" s="446"/>
      <c r="C167" s="376">
        <v>3721</v>
      </c>
      <c r="D167" s="517" t="s">
        <v>507</v>
      </c>
      <c r="E167" s="518">
        <v>240000</v>
      </c>
      <c r="F167" s="518">
        <v>100000</v>
      </c>
      <c r="G167" s="518">
        <f>F167/7.5345</f>
        <v>13272.280841462605</v>
      </c>
      <c r="H167" s="518">
        <v>18000</v>
      </c>
      <c r="I167" s="518">
        <v>23600</v>
      </c>
      <c r="J167" s="518">
        <f t="shared" si="117"/>
        <v>41600</v>
      </c>
      <c r="K167" s="592">
        <f>J167*7.5345</f>
        <v>313435.2</v>
      </c>
      <c r="L167" s="384">
        <f t="shared" si="116"/>
        <v>231.11111111111109</v>
      </c>
    </row>
    <row r="168" spans="1:12" ht="14.25" x14ac:dyDescent="0.2">
      <c r="A168" s="355" t="s">
        <v>519</v>
      </c>
      <c r="B168" s="446"/>
      <c r="C168" s="376">
        <v>3722</v>
      </c>
      <c r="D168" s="517" t="s">
        <v>508</v>
      </c>
      <c r="E168" s="518">
        <v>70000</v>
      </c>
      <c r="F168" s="518">
        <v>570000</v>
      </c>
      <c r="G168" s="518">
        <f t="shared" si="108"/>
        <v>75652.000796336841</v>
      </c>
      <c r="H168" s="518">
        <v>175000</v>
      </c>
      <c r="I168" s="518">
        <v>-24000</v>
      </c>
      <c r="J168" s="518">
        <f t="shared" si="117"/>
        <v>151000</v>
      </c>
      <c r="K168" s="592">
        <f t="shared" si="109"/>
        <v>1137709.5</v>
      </c>
      <c r="L168" s="384">
        <f t="shared" si="116"/>
        <v>86.285714285714292</v>
      </c>
    </row>
    <row r="169" spans="1:12" ht="14.25" x14ac:dyDescent="0.2">
      <c r="A169" s="355" t="s">
        <v>519</v>
      </c>
      <c r="B169" s="446"/>
      <c r="C169" s="376">
        <v>3722</v>
      </c>
      <c r="D169" s="517" t="s">
        <v>509</v>
      </c>
      <c r="E169" s="518">
        <v>70000</v>
      </c>
      <c r="F169" s="518">
        <v>40000</v>
      </c>
      <c r="G169" s="518">
        <f t="shared" si="108"/>
        <v>5308.9123365850419</v>
      </c>
      <c r="H169" s="518">
        <v>11000</v>
      </c>
      <c r="I169" s="518">
        <v>750</v>
      </c>
      <c r="J169" s="518">
        <f t="shared" si="117"/>
        <v>11750</v>
      </c>
      <c r="K169" s="592">
        <f t="shared" si="109"/>
        <v>88530.375</v>
      </c>
      <c r="L169" s="384">
        <f t="shared" si="116"/>
        <v>106.81818181818181</v>
      </c>
    </row>
    <row r="170" spans="1:12" ht="28.5" x14ac:dyDescent="0.2">
      <c r="A170" s="355" t="s">
        <v>519</v>
      </c>
      <c r="B170" s="446"/>
      <c r="C170" s="376">
        <v>3722</v>
      </c>
      <c r="D170" s="517" t="s">
        <v>413</v>
      </c>
      <c r="E170" s="518">
        <v>70000</v>
      </c>
      <c r="F170" s="518">
        <v>50000</v>
      </c>
      <c r="G170" s="518">
        <f t="shared" si="108"/>
        <v>6636.1404207313026</v>
      </c>
      <c r="H170" s="518">
        <v>44000</v>
      </c>
      <c r="I170" s="518">
        <v>1150</v>
      </c>
      <c r="J170" s="518">
        <f t="shared" si="117"/>
        <v>45150</v>
      </c>
      <c r="K170" s="592">
        <f t="shared" si="109"/>
        <v>340182.67500000005</v>
      </c>
      <c r="L170" s="384">
        <f t="shared" si="116"/>
        <v>102.61363636363636</v>
      </c>
    </row>
    <row r="171" spans="1:12" s="390" customFormat="1" ht="29.25" thickBot="1" x14ac:dyDescent="0.25">
      <c r="A171" s="355" t="s">
        <v>519</v>
      </c>
      <c r="B171" s="446"/>
      <c r="C171" s="376">
        <v>3722</v>
      </c>
      <c r="D171" s="517" t="s">
        <v>414</v>
      </c>
      <c r="E171" s="518">
        <v>70000</v>
      </c>
      <c r="F171" s="518">
        <v>60000</v>
      </c>
      <c r="G171" s="518">
        <f t="shared" si="108"/>
        <v>7963.3685048775624</v>
      </c>
      <c r="H171" s="518">
        <v>10000</v>
      </c>
      <c r="I171" s="518">
        <v>-400</v>
      </c>
      <c r="J171" s="518">
        <f t="shared" si="117"/>
        <v>9600</v>
      </c>
      <c r="K171" s="592">
        <f t="shared" si="109"/>
        <v>72331.199999999997</v>
      </c>
      <c r="L171" s="384">
        <f t="shared" si="116"/>
        <v>96</v>
      </c>
    </row>
    <row r="172" spans="1:12" s="97" customFormat="1" ht="30" thickTop="1" thickBot="1" x14ac:dyDescent="0.3">
      <c r="A172" s="355" t="s">
        <v>519</v>
      </c>
      <c r="B172" s="448"/>
      <c r="C172" s="519">
        <v>3722</v>
      </c>
      <c r="D172" s="520" t="s">
        <v>551</v>
      </c>
      <c r="E172" s="521">
        <v>70000</v>
      </c>
      <c r="F172" s="521">
        <v>40000</v>
      </c>
      <c r="G172" s="521">
        <f t="shared" si="108"/>
        <v>5308.9123365850419</v>
      </c>
      <c r="H172" s="521">
        <v>9500</v>
      </c>
      <c r="I172" s="521">
        <v>-2350</v>
      </c>
      <c r="J172" s="518">
        <f t="shared" si="117"/>
        <v>7150</v>
      </c>
      <c r="K172" s="593">
        <f t="shared" si="109"/>
        <v>53871.675000000003</v>
      </c>
      <c r="L172" s="384">
        <f t="shared" si="116"/>
        <v>75.26315789473685</v>
      </c>
    </row>
    <row r="173" spans="1:12" s="28" customFormat="1" ht="15" thickTop="1" x14ac:dyDescent="0.2">
      <c r="A173" s="401"/>
      <c r="B173" s="451"/>
      <c r="C173" s="40"/>
      <c r="D173" s="396" t="s">
        <v>208</v>
      </c>
      <c r="E173" s="373"/>
      <c r="F173" s="372"/>
      <c r="G173" s="372"/>
      <c r="H173" s="372"/>
      <c r="I173" s="372"/>
      <c r="J173" s="372"/>
      <c r="K173" s="526"/>
      <c r="L173" s="843">
        <f>AVERAGE(J175/H175*100)</f>
        <v>99</v>
      </c>
    </row>
    <row r="174" spans="1:12" ht="14.25" x14ac:dyDescent="0.2">
      <c r="A174" s="401"/>
      <c r="B174" s="451"/>
      <c r="C174" s="40"/>
      <c r="D174" s="395" t="s">
        <v>608</v>
      </c>
      <c r="E174" s="363"/>
      <c r="F174" s="372"/>
      <c r="G174" s="372"/>
      <c r="H174" s="372"/>
      <c r="I174" s="372"/>
      <c r="J174" s="372"/>
      <c r="K174" s="526"/>
      <c r="L174" s="844"/>
    </row>
    <row r="175" spans="1:12" ht="31.5" x14ac:dyDescent="0.25">
      <c r="A175" s="425"/>
      <c r="B175" s="452"/>
      <c r="C175" s="97"/>
      <c r="D175" s="429" t="s">
        <v>517</v>
      </c>
      <c r="E175" s="426">
        <v>15000</v>
      </c>
      <c r="F175" s="424">
        <f t="shared" ref="F175:K177" si="118">SUM(F176)</f>
        <v>45000</v>
      </c>
      <c r="G175" s="424">
        <f t="shared" si="118"/>
        <v>5972.5263786581718</v>
      </c>
      <c r="H175" s="424">
        <f t="shared" si="118"/>
        <v>5000</v>
      </c>
      <c r="I175" s="424">
        <f t="shared" si="118"/>
        <v>-50</v>
      </c>
      <c r="J175" s="424">
        <f t="shared" si="118"/>
        <v>4950</v>
      </c>
      <c r="K175" s="527">
        <f t="shared" si="118"/>
        <v>37295.775000000001</v>
      </c>
      <c r="L175" s="845"/>
    </row>
    <row r="176" spans="1:12" s="440" customFormat="1" ht="15" x14ac:dyDescent="0.25">
      <c r="A176" s="358" t="s">
        <v>642</v>
      </c>
      <c r="B176" s="447"/>
      <c r="C176" s="377">
        <v>38</v>
      </c>
      <c r="D176" s="365" t="s">
        <v>80</v>
      </c>
      <c r="E176" s="362">
        <v>15000</v>
      </c>
      <c r="F176" s="362">
        <f t="shared" si="118"/>
        <v>45000</v>
      </c>
      <c r="G176" s="362">
        <f t="shared" si="118"/>
        <v>5972.5263786581718</v>
      </c>
      <c r="H176" s="362">
        <f t="shared" si="118"/>
        <v>5000</v>
      </c>
      <c r="I176" s="362">
        <f t="shared" si="118"/>
        <v>-50</v>
      </c>
      <c r="J176" s="362">
        <f t="shared" si="118"/>
        <v>4950</v>
      </c>
      <c r="K176" s="530">
        <f t="shared" si="118"/>
        <v>37295.775000000001</v>
      </c>
      <c r="L176" s="727">
        <f>AVERAGE(J176/H176*100)</f>
        <v>99</v>
      </c>
    </row>
    <row r="177" spans="1:12" ht="14.25" x14ac:dyDescent="0.2">
      <c r="A177" s="357" t="s">
        <v>642</v>
      </c>
      <c r="B177" s="446"/>
      <c r="C177" s="375">
        <v>381</v>
      </c>
      <c r="D177" s="368" t="s">
        <v>37</v>
      </c>
      <c r="E177" s="363">
        <v>15000</v>
      </c>
      <c r="F177" s="363">
        <f t="shared" si="118"/>
        <v>45000</v>
      </c>
      <c r="G177" s="363">
        <f t="shared" si="118"/>
        <v>5972.5263786581718</v>
      </c>
      <c r="H177" s="363">
        <f t="shared" si="118"/>
        <v>5000</v>
      </c>
      <c r="I177" s="363">
        <f t="shared" si="118"/>
        <v>-50</v>
      </c>
      <c r="J177" s="363">
        <f t="shared" si="118"/>
        <v>4950</v>
      </c>
      <c r="K177" s="529">
        <f t="shared" si="118"/>
        <v>37295.775000000001</v>
      </c>
      <c r="L177" s="384">
        <f t="shared" ref="L177:L178" si="119">AVERAGE(J177/H177*100)</f>
        <v>99</v>
      </c>
    </row>
    <row r="178" spans="1:12" s="210" customFormat="1" ht="15" thickBot="1" x14ac:dyDescent="0.25">
      <c r="A178" s="406" t="s">
        <v>642</v>
      </c>
      <c r="B178" s="448"/>
      <c r="C178" s="407">
        <v>3811</v>
      </c>
      <c r="D178" s="387" t="s">
        <v>481</v>
      </c>
      <c r="E178" s="388">
        <v>15000</v>
      </c>
      <c r="F178" s="388">
        <v>45000</v>
      </c>
      <c r="G178" s="388">
        <f>F178/7.5345</f>
        <v>5972.5263786581718</v>
      </c>
      <c r="H178" s="388">
        <v>5000</v>
      </c>
      <c r="I178" s="388">
        <v>-50</v>
      </c>
      <c r="J178" s="388">
        <f>SUM(H178+I178)</f>
        <v>4950</v>
      </c>
      <c r="K178" s="531">
        <f>J178*7.5345</f>
        <v>37295.775000000001</v>
      </c>
      <c r="L178" s="384">
        <f t="shared" si="119"/>
        <v>99</v>
      </c>
    </row>
    <row r="179" spans="1:12" s="97" customFormat="1" ht="16.5" thickTop="1" x14ac:dyDescent="0.25">
      <c r="A179" s="401"/>
      <c r="B179" s="451"/>
      <c r="C179" s="40"/>
      <c r="D179" s="396" t="s">
        <v>208</v>
      </c>
      <c r="E179" s="373"/>
      <c r="F179" s="372"/>
      <c r="G179" s="372"/>
      <c r="H179" s="372"/>
      <c r="I179" s="372"/>
      <c r="J179" s="372"/>
      <c r="K179" s="526"/>
      <c r="L179" s="843">
        <f>AVERAGE(J181/H181*100)</f>
        <v>50</v>
      </c>
    </row>
    <row r="180" spans="1:12" s="28" customFormat="1" ht="14.25" x14ac:dyDescent="0.2">
      <c r="A180" s="401"/>
      <c r="B180" s="451"/>
      <c r="C180" s="40"/>
      <c r="D180" s="395" t="s">
        <v>609</v>
      </c>
      <c r="E180" s="363"/>
      <c r="F180" s="526"/>
      <c r="G180" s="526"/>
      <c r="H180" s="372"/>
      <c r="I180" s="372"/>
      <c r="J180" s="372"/>
      <c r="K180" s="526"/>
      <c r="L180" s="844"/>
    </row>
    <row r="181" spans="1:12" ht="47.25" x14ac:dyDescent="0.25">
      <c r="A181" s="425"/>
      <c r="B181" s="452"/>
      <c r="C181" s="97"/>
      <c r="D181" s="429" t="s">
        <v>518</v>
      </c>
      <c r="E181" s="426">
        <v>10000</v>
      </c>
      <c r="F181" s="424">
        <f t="shared" ref="F181:K183" si="120">SUM(F182)</f>
        <v>50000</v>
      </c>
      <c r="G181" s="424">
        <f t="shared" si="120"/>
        <v>6636.1404207313026</v>
      </c>
      <c r="H181" s="424">
        <f t="shared" si="120"/>
        <v>7000</v>
      </c>
      <c r="I181" s="424">
        <f t="shared" si="120"/>
        <v>-3500</v>
      </c>
      <c r="J181" s="424">
        <f t="shared" si="120"/>
        <v>3500</v>
      </c>
      <c r="K181" s="527">
        <f t="shared" si="120"/>
        <v>26370.75</v>
      </c>
      <c r="L181" s="845"/>
    </row>
    <row r="182" spans="1:12" s="112" customFormat="1" ht="15" x14ac:dyDescent="0.25">
      <c r="A182" s="414" t="s">
        <v>643</v>
      </c>
      <c r="B182" s="447"/>
      <c r="C182" s="377">
        <v>37</v>
      </c>
      <c r="D182" s="365" t="s">
        <v>77</v>
      </c>
      <c r="E182" s="362">
        <v>10000</v>
      </c>
      <c r="F182" s="362">
        <f t="shared" si="120"/>
        <v>50000</v>
      </c>
      <c r="G182" s="362">
        <f t="shared" si="120"/>
        <v>6636.1404207313026</v>
      </c>
      <c r="H182" s="362">
        <f t="shared" si="120"/>
        <v>7000</v>
      </c>
      <c r="I182" s="362">
        <f t="shared" si="120"/>
        <v>-3500</v>
      </c>
      <c r="J182" s="362">
        <f t="shared" si="120"/>
        <v>3500</v>
      </c>
      <c r="K182" s="530">
        <f t="shared" si="120"/>
        <v>26370.75</v>
      </c>
      <c r="L182" s="727">
        <f>AVERAGE(J182/H182*100)</f>
        <v>50</v>
      </c>
    </row>
    <row r="183" spans="1:12" s="440" customFormat="1" ht="15" x14ac:dyDescent="0.25">
      <c r="A183" s="357" t="s">
        <v>643</v>
      </c>
      <c r="B183" s="446"/>
      <c r="C183" s="375">
        <v>372</v>
      </c>
      <c r="D183" s="368" t="s">
        <v>77</v>
      </c>
      <c r="E183" s="363">
        <v>10000</v>
      </c>
      <c r="F183" s="363">
        <f t="shared" si="120"/>
        <v>50000</v>
      </c>
      <c r="G183" s="363">
        <f t="shared" si="120"/>
        <v>6636.1404207313026</v>
      </c>
      <c r="H183" s="363">
        <f t="shared" si="120"/>
        <v>7000</v>
      </c>
      <c r="I183" s="363">
        <f t="shared" si="120"/>
        <v>-3500</v>
      </c>
      <c r="J183" s="363">
        <f t="shared" si="120"/>
        <v>3500</v>
      </c>
      <c r="K183" s="529">
        <f t="shared" si="120"/>
        <v>26370.75</v>
      </c>
      <c r="L183" s="384">
        <f t="shared" ref="L183:L184" si="121">AVERAGE(J183/H183*100)</f>
        <v>50</v>
      </c>
    </row>
    <row r="184" spans="1:12" ht="15" thickBot="1" x14ac:dyDescent="0.25">
      <c r="A184" s="357" t="s">
        <v>643</v>
      </c>
      <c r="B184" s="453"/>
      <c r="C184" s="398">
        <v>3722</v>
      </c>
      <c r="D184" s="370" t="s">
        <v>79</v>
      </c>
      <c r="E184" s="361">
        <v>10000</v>
      </c>
      <c r="F184" s="361">
        <v>50000</v>
      </c>
      <c r="G184" s="363">
        <f>F184/7.5345</f>
        <v>6636.1404207313026</v>
      </c>
      <c r="H184" s="363">
        <v>7000</v>
      </c>
      <c r="I184" s="363">
        <v>-3500</v>
      </c>
      <c r="J184" s="363">
        <f>SUM(H184+I184)</f>
        <v>3500</v>
      </c>
      <c r="K184" s="529">
        <f>J184*7.5345</f>
        <v>26370.75</v>
      </c>
      <c r="L184" s="384">
        <f t="shared" si="121"/>
        <v>50</v>
      </c>
    </row>
    <row r="185" spans="1:12" s="210" customFormat="1" ht="18.75" thickBot="1" x14ac:dyDescent="0.25">
      <c r="A185" s="852" t="s">
        <v>574</v>
      </c>
      <c r="B185" s="853"/>
      <c r="C185" s="853"/>
      <c r="D185" s="854"/>
      <c r="E185" s="541">
        <v>35000</v>
      </c>
      <c r="F185" s="541">
        <f t="shared" ref="F185:H185" si="122">SUM(F188)</f>
        <v>100000</v>
      </c>
      <c r="G185" s="541">
        <f t="shared" si="122"/>
        <v>13272.280841462605</v>
      </c>
      <c r="H185" s="541">
        <f t="shared" si="122"/>
        <v>20000</v>
      </c>
      <c r="I185" s="541">
        <f t="shared" ref="I185:J185" si="123">SUM(I188)</f>
        <v>3750</v>
      </c>
      <c r="J185" s="541">
        <f t="shared" si="123"/>
        <v>23750</v>
      </c>
      <c r="K185" s="546">
        <f t="shared" ref="K185" si="124">SUM(K188)</f>
        <v>141271.875</v>
      </c>
      <c r="L185" s="726">
        <f>AVERAGE(J185/H185*100)</f>
        <v>118.75</v>
      </c>
    </row>
    <row r="186" spans="1:12" s="97" customFormat="1" ht="15.75" x14ac:dyDescent="0.25">
      <c r="A186" s="401"/>
      <c r="B186" s="40"/>
      <c r="C186" s="40"/>
      <c r="D186" s="396" t="s">
        <v>211</v>
      </c>
      <c r="E186" s="373"/>
      <c r="F186" s="372"/>
      <c r="G186" s="372"/>
      <c r="H186" s="372"/>
      <c r="I186" s="372"/>
      <c r="J186" s="372"/>
      <c r="K186" s="526"/>
      <c r="L186" s="862">
        <f>AVERAGE(J188/H188*100)</f>
        <v>118.75</v>
      </c>
    </row>
    <row r="187" spans="1:12" s="28" customFormat="1" ht="14.25" x14ac:dyDescent="0.2">
      <c r="A187" s="401"/>
      <c r="B187" s="40"/>
      <c r="C187" s="40"/>
      <c r="D187" s="395" t="s">
        <v>610</v>
      </c>
      <c r="E187" s="363"/>
      <c r="F187" s="372"/>
      <c r="G187" s="372"/>
      <c r="H187" s="372"/>
      <c r="I187" s="372"/>
      <c r="J187" s="372"/>
      <c r="K187" s="526"/>
      <c r="L187" s="844"/>
    </row>
    <row r="188" spans="1:12" ht="15.75" x14ac:dyDescent="0.25">
      <c r="A188" s="425"/>
      <c r="B188" s="97"/>
      <c r="C188" s="97"/>
      <c r="D188" s="429" t="s">
        <v>452</v>
      </c>
      <c r="E188" s="426">
        <v>35000</v>
      </c>
      <c r="F188" s="424">
        <f t="shared" ref="F188:K190" si="125">SUM(F189)</f>
        <v>100000</v>
      </c>
      <c r="G188" s="424">
        <f t="shared" si="125"/>
        <v>13272.280841462605</v>
      </c>
      <c r="H188" s="424">
        <f t="shared" si="125"/>
        <v>20000</v>
      </c>
      <c r="I188" s="424">
        <f t="shared" si="125"/>
        <v>3750</v>
      </c>
      <c r="J188" s="424">
        <f t="shared" si="125"/>
        <v>23750</v>
      </c>
      <c r="K188" s="527">
        <f t="shared" si="125"/>
        <v>141271.875</v>
      </c>
      <c r="L188" s="845"/>
    </row>
    <row r="189" spans="1:12" ht="15" x14ac:dyDescent="0.25">
      <c r="A189" s="358" t="s">
        <v>453</v>
      </c>
      <c r="B189" s="364"/>
      <c r="C189" s="354">
        <v>32</v>
      </c>
      <c r="D189" s="365" t="s">
        <v>180</v>
      </c>
      <c r="E189" s="362">
        <v>35000</v>
      </c>
      <c r="F189" s="362">
        <f t="shared" si="125"/>
        <v>100000</v>
      </c>
      <c r="G189" s="362">
        <f t="shared" si="125"/>
        <v>13272.280841462605</v>
      </c>
      <c r="H189" s="362">
        <f t="shared" si="125"/>
        <v>20000</v>
      </c>
      <c r="I189" s="362">
        <f t="shared" si="125"/>
        <v>3750</v>
      </c>
      <c r="J189" s="362">
        <f t="shared" si="125"/>
        <v>23750</v>
      </c>
      <c r="K189" s="530">
        <f t="shared" si="125"/>
        <v>141271.875</v>
      </c>
      <c r="L189" s="727">
        <f>AVERAGE(J189/H189*100)</f>
        <v>118.75</v>
      </c>
    </row>
    <row r="190" spans="1:12" ht="14.25" x14ac:dyDescent="0.2">
      <c r="A190" s="355" t="s">
        <v>453</v>
      </c>
      <c r="B190" s="366"/>
      <c r="C190" s="367">
        <v>323</v>
      </c>
      <c r="D190" s="368" t="s">
        <v>56</v>
      </c>
      <c r="E190" s="363">
        <v>35000</v>
      </c>
      <c r="F190" s="363">
        <f t="shared" si="125"/>
        <v>100000</v>
      </c>
      <c r="G190" s="363">
        <f t="shared" si="125"/>
        <v>13272.280841462605</v>
      </c>
      <c r="H190" s="363">
        <f t="shared" ref="H190:I190" si="126">SUM(H191+H192)</f>
        <v>20000</v>
      </c>
      <c r="I190" s="363">
        <f t="shared" si="126"/>
        <v>3750</v>
      </c>
      <c r="J190" s="363">
        <f>SUM(J191+J192)</f>
        <v>23750</v>
      </c>
      <c r="K190" s="529">
        <f t="shared" si="125"/>
        <v>141271.875</v>
      </c>
      <c r="L190" s="384">
        <f t="shared" ref="L190:L193" si="127">AVERAGE(J190/H190*100)</f>
        <v>118.75</v>
      </c>
    </row>
    <row r="191" spans="1:12" s="390" customFormat="1" ht="15" thickBot="1" x14ac:dyDescent="0.25">
      <c r="A191" s="355" t="s">
        <v>453</v>
      </c>
      <c r="B191" s="453"/>
      <c r="C191" s="398">
        <v>3234</v>
      </c>
      <c r="D191" s="370" t="s">
        <v>60</v>
      </c>
      <c r="E191" s="361">
        <v>35000</v>
      </c>
      <c r="F191" s="361">
        <v>100000</v>
      </c>
      <c r="G191" s="363">
        <f>F191/7.5345</f>
        <v>13272.280841462605</v>
      </c>
      <c r="H191" s="363">
        <v>20000</v>
      </c>
      <c r="I191" s="363">
        <v>-1250</v>
      </c>
      <c r="J191" s="363">
        <f>SUM(H191+I191)</f>
        <v>18750</v>
      </c>
      <c r="K191" s="529">
        <f>J191*7.5345</f>
        <v>141271.875</v>
      </c>
      <c r="L191" s="384">
        <f t="shared" si="127"/>
        <v>93.75</v>
      </c>
    </row>
    <row r="192" spans="1:12" s="97" customFormat="1" ht="19.5" customHeight="1" thickTop="1" thickBot="1" x14ac:dyDescent="0.3">
      <c r="A192" s="355" t="s">
        <v>453</v>
      </c>
      <c r="B192" s="453"/>
      <c r="C192" s="398">
        <v>3234</v>
      </c>
      <c r="D192" s="370" t="s">
        <v>60</v>
      </c>
      <c r="E192" s="361">
        <v>35000</v>
      </c>
      <c r="F192" s="361">
        <v>100000</v>
      </c>
      <c r="G192" s="363">
        <f>F192/7.5345</f>
        <v>13272.280841462605</v>
      </c>
      <c r="H192" s="363">
        <v>0</v>
      </c>
      <c r="I192" s="363">
        <v>5000</v>
      </c>
      <c r="J192" s="363">
        <f>SUM(H192+I192)</f>
        <v>5000</v>
      </c>
      <c r="K192" s="529">
        <f>J192*7.5345</f>
        <v>37672.5</v>
      </c>
      <c r="L192" s="384" t="e">
        <f t="shared" ref="L192" si="128">AVERAGE(J192/H192*100)</f>
        <v>#DIV/0!</v>
      </c>
    </row>
    <row r="193" spans="1:12" s="28" customFormat="1" ht="18.75" thickBot="1" x14ac:dyDescent="0.25">
      <c r="A193" s="852" t="s">
        <v>575</v>
      </c>
      <c r="B193" s="853"/>
      <c r="C193" s="853"/>
      <c r="D193" s="854"/>
      <c r="E193" s="541">
        <v>40000</v>
      </c>
      <c r="F193" s="541">
        <f t="shared" ref="F193:H193" si="129">SUM(F196+F202)</f>
        <v>59000</v>
      </c>
      <c r="G193" s="541">
        <f t="shared" si="129"/>
        <v>7830.6456964629369</v>
      </c>
      <c r="H193" s="541">
        <f t="shared" si="129"/>
        <v>20000</v>
      </c>
      <c r="I193" s="541">
        <f t="shared" ref="I193:K193" si="130">SUM(I196+I202)</f>
        <v>2500</v>
      </c>
      <c r="J193" s="541">
        <f t="shared" si="130"/>
        <v>22500</v>
      </c>
      <c r="K193" s="546">
        <f t="shared" si="130"/>
        <v>169526.25</v>
      </c>
      <c r="L193" s="541">
        <f t="shared" si="127"/>
        <v>112.5</v>
      </c>
    </row>
    <row r="194" spans="1:12" ht="14.25" x14ac:dyDescent="0.2">
      <c r="A194" s="401"/>
      <c r="B194" s="40"/>
      <c r="C194" s="40"/>
      <c r="D194" s="396" t="s">
        <v>178</v>
      </c>
      <c r="E194" s="373"/>
      <c r="F194" s="372"/>
      <c r="G194" s="372"/>
      <c r="H194" s="372"/>
      <c r="I194" s="372"/>
      <c r="J194" s="372"/>
      <c r="K194" s="526"/>
      <c r="L194" s="862">
        <f>AVERAGE(J196/H196*100)</f>
        <v>123.33333333333334</v>
      </c>
    </row>
    <row r="195" spans="1:12" ht="14.25" x14ac:dyDescent="0.2">
      <c r="A195" s="401"/>
      <c r="B195" s="40"/>
      <c r="C195" s="40"/>
      <c r="D195" s="395" t="s">
        <v>603</v>
      </c>
      <c r="E195" s="363"/>
      <c r="F195" s="372"/>
      <c r="G195" s="372"/>
      <c r="H195" s="372"/>
      <c r="I195" s="372"/>
      <c r="J195" s="372"/>
      <c r="K195" s="526"/>
      <c r="L195" s="844"/>
    </row>
    <row r="196" spans="1:12" ht="31.5" x14ac:dyDescent="0.25">
      <c r="A196" s="425"/>
      <c r="B196" s="97"/>
      <c r="C196" s="97"/>
      <c r="D196" s="429" t="s">
        <v>563</v>
      </c>
      <c r="E196" s="426">
        <v>40000</v>
      </c>
      <c r="F196" s="424">
        <f t="shared" ref="F196:K198" si="131">SUM(F197)</f>
        <v>50000</v>
      </c>
      <c r="G196" s="424">
        <f t="shared" si="131"/>
        <v>6636.1404207313026</v>
      </c>
      <c r="H196" s="424">
        <f t="shared" si="131"/>
        <v>15000</v>
      </c>
      <c r="I196" s="424">
        <f t="shared" si="131"/>
        <v>3500</v>
      </c>
      <c r="J196" s="424">
        <f t="shared" si="131"/>
        <v>18500</v>
      </c>
      <c r="K196" s="527">
        <f t="shared" si="131"/>
        <v>139388.25</v>
      </c>
      <c r="L196" s="845"/>
    </row>
    <row r="197" spans="1:12" s="440" customFormat="1" ht="15" x14ac:dyDescent="0.25">
      <c r="A197" s="358" t="s">
        <v>454</v>
      </c>
      <c r="B197" s="364"/>
      <c r="C197" s="354">
        <v>38</v>
      </c>
      <c r="D197" s="365" t="s">
        <v>128</v>
      </c>
      <c r="E197" s="362">
        <v>40000</v>
      </c>
      <c r="F197" s="362">
        <f t="shared" si="131"/>
        <v>50000</v>
      </c>
      <c r="G197" s="362">
        <f t="shared" si="131"/>
        <v>6636.1404207313026</v>
      </c>
      <c r="H197" s="362">
        <f t="shared" si="131"/>
        <v>15000</v>
      </c>
      <c r="I197" s="362">
        <f t="shared" si="131"/>
        <v>3500</v>
      </c>
      <c r="J197" s="362">
        <f t="shared" si="131"/>
        <v>18500</v>
      </c>
      <c r="K197" s="530">
        <f t="shared" si="131"/>
        <v>139388.25</v>
      </c>
      <c r="L197" s="727">
        <f>AVERAGE(J197/H197*100)</f>
        <v>123.33333333333334</v>
      </c>
    </row>
    <row r="198" spans="1:12" ht="14.25" x14ac:dyDescent="0.2">
      <c r="A198" s="355" t="s">
        <v>454</v>
      </c>
      <c r="B198" s="366"/>
      <c r="C198" s="367">
        <v>381</v>
      </c>
      <c r="D198" s="368" t="s">
        <v>37</v>
      </c>
      <c r="E198" s="363">
        <v>40000</v>
      </c>
      <c r="F198" s="363">
        <f t="shared" si="131"/>
        <v>50000</v>
      </c>
      <c r="G198" s="363">
        <f t="shared" si="131"/>
        <v>6636.1404207313026</v>
      </c>
      <c r="H198" s="363">
        <f t="shared" si="131"/>
        <v>15000</v>
      </c>
      <c r="I198" s="363">
        <f t="shared" si="131"/>
        <v>3500</v>
      </c>
      <c r="J198" s="363">
        <f t="shared" si="131"/>
        <v>18500</v>
      </c>
      <c r="K198" s="529">
        <f t="shared" si="131"/>
        <v>139388.25</v>
      </c>
      <c r="L198" s="384">
        <f t="shared" ref="L198:L199" si="132">AVERAGE(J198/H198*100)</f>
        <v>123.33333333333334</v>
      </c>
    </row>
    <row r="199" spans="1:12" s="210" customFormat="1" ht="15" thickBot="1" x14ac:dyDescent="0.25">
      <c r="A199" s="404" t="s">
        <v>454</v>
      </c>
      <c r="B199" s="448"/>
      <c r="C199" s="386">
        <v>3811</v>
      </c>
      <c r="D199" s="387" t="s">
        <v>228</v>
      </c>
      <c r="E199" s="388">
        <v>40000</v>
      </c>
      <c r="F199" s="388">
        <v>50000</v>
      </c>
      <c r="G199" s="388">
        <f>F199/7.5345</f>
        <v>6636.1404207313026</v>
      </c>
      <c r="H199" s="388">
        <v>15000</v>
      </c>
      <c r="I199" s="388">
        <v>3500</v>
      </c>
      <c r="J199" s="388">
        <f>SUM(H199+I199)</f>
        <v>18500</v>
      </c>
      <c r="K199" s="531">
        <f>J199*7.5345</f>
        <v>139388.25</v>
      </c>
      <c r="L199" s="384">
        <f t="shared" si="132"/>
        <v>123.33333333333334</v>
      </c>
    </row>
    <row r="200" spans="1:12" s="97" customFormat="1" ht="16.5" thickTop="1" x14ac:dyDescent="0.25">
      <c r="A200" s="401"/>
      <c r="B200" s="40"/>
      <c r="C200" s="40"/>
      <c r="D200" s="396" t="s">
        <v>178</v>
      </c>
      <c r="E200" s="373"/>
      <c r="F200" s="372"/>
      <c r="G200" s="372"/>
      <c r="H200" s="372"/>
      <c r="I200" s="372"/>
      <c r="J200" s="372"/>
      <c r="K200" s="526"/>
      <c r="L200" s="843">
        <f>AVERAGE(J202/H202*100)</f>
        <v>80</v>
      </c>
    </row>
    <row r="201" spans="1:12" s="28" customFormat="1" ht="14.25" x14ac:dyDescent="0.2">
      <c r="A201" s="401"/>
      <c r="B201" s="40"/>
      <c r="C201" s="40"/>
      <c r="D201" s="395" t="s">
        <v>611</v>
      </c>
      <c r="E201" s="363"/>
      <c r="F201" s="372"/>
      <c r="G201" s="372"/>
      <c r="H201" s="372"/>
      <c r="I201" s="372"/>
      <c r="J201" s="372"/>
      <c r="K201" s="526"/>
      <c r="L201" s="844"/>
    </row>
    <row r="202" spans="1:12" ht="15.75" x14ac:dyDescent="0.25">
      <c r="A202" s="425"/>
      <c r="B202" s="97"/>
      <c r="C202" s="97"/>
      <c r="D202" s="429" t="s">
        <v>426</v>
      </c>
      <c r="E202" s="426">
        <v>40000</v>
      </c>
      <c r="F202" s="424">
        <f t="shared" ref="F202:K203" si="133">SUM(F203)</f>
        <v>9000</v>
      </c>
      <c r="G202" s="424">
        <f t="shared" si="133"/>
        <v>1194.5052757316344</v>
      </c>
      <c r="H202" s="424">
        <f t="shared" si="133"/>
        <v>5000</v>
      </c>
      <c r="I202" s="424">
        <f t="shared" si="133"/>
        <v>-1000</v>
      </c>
      <c r="J202" s="424">
        <f t="shared" si="133"/>
        <v>4000</v>
      </c>
      <c r="K202" s="527">
        <f t="shared" si="133"/>
        <v>30138</v>
      </c>
      <c r="L202" s="845"/>
    </row>
    <row r="203" spans="1:12" ht="15" x14ac:dyDescent="0.25">
      <c r="A203" s="358" t="s">
        <v>644</v>
      </c>
      <c r="B203" s="364"/>
      <c r="C203" s="354">
        <v>32</v>
      </c>
      <c r="D203" s="365" t="s">
        <v>47</v>
      </c>
      <c r="E203" s="362">
        <v>40000</v>
      </c>
      <c r="F203" s="362">
        <f t="shared" si="133"/>
        <v>9000</v>
      </c>
      <c r="G203" s="362">
        <f t="shared" si="133"/>
        <v>1194.5052757316344</v>
      </c>
      <c r="H203" s="362">
        <v>5000</v>
      </c>
      <c r="I203" s="362">
        <f>I204</f>
        <v>-1000</v>
      </c>
      <c r="J203" s="362">
        <f>J204</f>
        <v>4000</v>
      </c>
      <c r="K203" s="530">
        <f t="shared" si="133"/>
        <v>30138</v>
      </c>
      <c r="L203" s="727">
        <f>AVERAGE(J203/H203*100)</f>
        <v>80</v>
      </c>
    </row>
    <row r="204" spans="1:12" s="28" customFormat="1" ht="14.25" x14ac:dyDescent="0.2">
      <c r="A204" s="355" t="s">
        <v>644</v>
      </c>
      <c r="B204" s="366"/>
      <c r="C204" s="367">
        <v>323</v>
      </c>
      <c r="D204" s="368" t="s">
        <v>56</v>
      </c>
      <c r="E204" s="363">
        <v>40000</v>
      </c>
      <c r="F204" s="363">
        <f t="shared" ref="F204:K204" si="134">SUM(F205:F205)</f>
        <v>9000</v>
      </c>
      <c r="G204" s="363">
        <f t="shared" si="134"/>
        <v>1194.5052757316344</v>
      </c>
      <c r="H204" s="363">
        <f t="shared" si="134"/>
        <v>5000</v>
      </c>
      <c r="I204" s="363">
        <f t="shared" si="134"/>
        <v>-1000</v>
      </c>
      <c r="J204" s="363">
        <f t="shared" si="134"/>
        <v>4000</v>
      </c>
      <c r="K204" s="529">
        <f t="shared" si="134"/>
        <v>30138</v>
      </c>
      <c r="L204" s="384">
        <f t="shared" ref="L204:L206" si="135">AVERAGE(J204/H204*100)</f>
        <v>80</v>
      </c>
    </row>
    <row r="205" spans="1:12" ht="15" thickBot="1" x14ac:dyDescent="0.25">
      <c r="A205" s="355" t="s">
        <v>644</v>
      </c>
      <c r="B205" s="446"/>
      <c r="C205" s="367">
        <v>3236</v>
      </c>
      <c r="D205" s="368" t="s">
        <v>61</v>
      </c>
      <c r="E205" s="363">
        <v>40000</v>
      </c>
      <c r="F205" s="363">
        <v>9000</v>
      </c>
      <c r="G205" s="363">
        <f>F205/7.5345</f>
        <v>1194.5052757316344</v>
      </c>
      <c r="H205" s="363">
        <v>5000</v>
      </c>
      <c r="I205" s="363">
        <v>-1000</v>
      </c>
      <c r="J205" s="363">
        <f>SUM(H205+I205)</f>
        <v>4000</v>
      </c>
      <c r="K205" s="529">
        <f>J205*7.5345</f>
        <v>30138</v>
      </c>
      <c r="L205" s="384">
        <f t="shared" si="135"/>
        <v>80</v>
      </c>
    </row>
    <row r="206" spans="1:12" ht="18.75" thickBot="1" x14ac:dyDescent="0.25">
      <c r="A206" s="852" t="s">
        <v>576</v>
      </c>
      <c r="B206" s="853"/>
      <c r="C206" s="853"/>
      <c r="D206" s="854"/>
      <c r="E206" s="541">
        <f t="shared" ref="E206:K206" si="136">SUM(E209+E215+E221+E227+E234)</f>
        <v>120000</v>
      </c>
      <c r="F206" s="541" t="e">
        <f t="shared" si="136"/>
        <v>#REF!</v>
      </c>
      <c r="G206" s="541" t="e">
        <f t="shared" si="136"/>
        <v>#REF!</v>
      </c>
      <c r="H206" s="541">
        <f t="shared" si="136"/>
        <v>41950</v>
      </c>
      <c r="I206" s="541">
        <f t="shared" si="136"/>
        <v>-8800</v>
      </c>
      <c r="J206" s="541">
        <f t="shared" si="136"/>
        <v>33150</v>
      </c>
      <c r="K206" s="546" t="e">
        <f t="shared" si="136"/>
        <v>#REF!</v>
      </c>
      <c r="L206" s="541">
        <f t="shared" si="135"/>
        <v>79.02264600715138</v>
      </c>
    </row>
    <row r="207" spans="1:12" s="390" customFormat="1" ht="15" thickBot="1" x14ac:dyDescent="0.25">
      <c r="A207" s="401"/>
      <c r="B207" s="40"/>
      <c r="C207" s="40"/>
      <c r="D207" s="396" t="s">
        <v>214</v>
      </c>
      <c r="E207" s="373"/>
      <c r="F207" s="372"/>
      <c r="G207" s="372"/>
      <c r="H207" s="372"/>
      <c r="I207" s="372"/>
      <c r="J207" s="372"/>
      <c r="K207" s="526"/>
      <c r="L207" s="383"/>
    </row>
    <row r="208" spans="1:12" s="535" customFormat="1" ht="16.5" thickTop="1" x14ac:dyDescent="0.25">
      <c r="A208" s="401"/>
      <c r="B208" s="40"/>
      <c r="C208" s="40"/>
      <c r="D208" s="395" t="s">
        <v>612</v>
      </c>
      <c r="E208" s="363"/>
      <c r="F208" s="372"/>
      <c r="G208" s="372"/>
      <c r="H208" s="372"/>
      <c r="I208" s="372"/>
      <c r="J208" s="372"/>
      <c r="K208" s="526"/>
      <c r="L208" s="383"/>
    </row>
    <row r="209" spans="1:12" s="537" customFormat="1" ht="15.75" x14ac:dyDescent="0.25">
      <c r="A209" s="425"/>
      <c r="B209" s="97"/>
      <c r="C209" s="97"/>
      <c r="D209" s="429" t="s">
        <v>427</v>
      </c>
      <c r="E209" s="426">
        <v>50000</v>
      </c>
      <c r="F209" s="424" t="e">
        <f>SUM(#REF!+F210)</f>
        <v>#REF!</v>
      </c>
      <c r="G209" s="424" t="e">
        <f>SUM(#REF!+G210)</f>
        <v>#REF!</v>
      </c>
      <c r="H209" s="424">
        <f>SUM(H210)</f>
        <v>27500</v>
      </c>
      <c r="I209" s="424">
        <f t="shared" ref="I209:J209" si="137">SUM(I210)</f>
        <v>0</v>
      </c>
      <c r="J209" s="424">
        <f t="shared" si="137"/>
        <v>27500</v>
      </c>
      <c r="K209" s="527" t="e">
        <f>SUM(#REF!+K210)</f>
        <v>#REF!</v>
      </c>
      <c r="L209" s="727">
        <f>AVERAGE(J209/H209*100)</f>
        <v>100</v>
      </c>
    </row>
    <row r="210" spans="1:12" s="537" customFormat="1" ht="15" x14ac:dyDescent="0.25">
      <c r="A210" s="414" t="s">
        <v>455</v>
      </c>
      <c r="B210" s="443"/>
      <c r="C210" s="354">
        <v>38</v>
      </c>
      <c r="D210" s="365" t="s">
        <v>80</v>
      </c>
      <c r="E210" s="362">
        <v>70000</v>
      </c>
      <c r="F210" s="362">
        <f t="shared" ref="F210:K211" si="138">SUM(F211)</f>
        <v>140000</v>
      </c>
      <c r="G210" s="362">
        <f t="shared" si="138"/>
        <v>18581.193178047648</v>
      </c>
      <c r="H210" s="362">
        <f t="shared" si="138"/>
        <v>27500</v>
      </c>
      <c r="I210" s="362">
        <f t="shared" si="138"/>
        <v>0</v>
      </c>
      <c r="J210" s="362">
        <f t="shared" si="138"/>
        <v>27500</v>
      </c>
      <c r="K210" s="530">
        <f t="shared" si="138"/>
        <v>207198.75</v>
      </c>
      <c r="L210" s="727">
        <f t="shared" ref="L210:L218" si="139">AVERAGE(J210/H210*100)</f>
        <v>100</v>
      </c>
    </row>
    <row r="211" spans="1:12" s="97" customFormat="1" ht="15.75" x14ac:dyDescent="0.25">
      <c r="A211" s="357" t="s">
        <v>455</v>
      </c>
      <c r="B211" s="442"/>
      <c r="C211" s="367">
        <v>381</v>
      </c>
      <c r="D211" s="368" t="s">
        <v>37</v>
      </c>
      <c r="E211" s="363">
        <v>50000</v>
      </c>
      <c r="F211" s="363">
        <f t="shared" si="138"/>
        <v>140000</v>
      </c>
      <c r="G211" s="363">
        <f t="shared" si="138"/>
        <v>18581.193178047648</v>
      </c>
      <c r="H211" s="363">
        <f t="shared" si="138"/>
        <v>27500</v>
      </c>
      <c r="I211" s="363">
        <f t="shared" si="138"/>
        <v>0</v>
      </c>
      <c r="J211" s="363">
        <f t="shared" si="138"/>
        <v>27500</v>
      </c>
      <c r="K211" s="529">
        <f t="shared" si="138"/>
        <v>207198.75</v>
      </c>
      <c r="L211" s="384">
        <f t="shared" si="139"/>
        <v>100</v>
      </c>
    </row>
    <row r="212" spans="1:12" s="28" customFormat="1" ht="15" thickBot="1" x14ac:dyDescent="0.25">
      <c r="A212" s="406" t="s">
        <v>455</v>
      </c>
      <c r="B212" s="444"/>
      <c r="C212" s="386">
        <v>3811</v>
      </c>
      <c r="D212" s="387" t="s">
        <v>415</v>
      </c>
      <c r="E212" s="388">
        <v>50000</v>
      </c>
      <c r="F212" s="388">
        <v>140000</v>
      </c>
      <c r="G212" s="388">
        <f>F212/7.5345</f>
        <v>18581.193178047648</v>
      </c>
      <c r="H212" s="388">
        <v>27500</v>
      </c>
      <c r="I212" s="388">
        <v>0</v>
      </c>
      <c r="J212" s="388">
        <f>SUM(H212+I212)</f>
        <v>27500</v>
      </c>
      <c r="K212" s="531">
        <f>J212*7.5345</f>
        <v>207198.75</v>
      </c>
      <c r="L212" s="388">
        <f t="shared" si="139"/>
        <v>100</v>
      </c>
    </row>
    <row r="213" spans="1:12" ht="15" thickTop="1" x14ac:dyDescent="0.2">
      <c r="A213" s="648"/>
      <c r="B213" s="649"/>
      <c r="C213" s="650"/>
      <c r="D213" s="641" t="s">
        <v>214</v>
      </c>
      <c r="E213" s="651"/>
      <c r="F213" s="614"/>
      <c r="G213" s="614"/>
      <c r="H213" s="614"/>
      <c r="I213" s="614"/>
      <c r="J213" s="614"/>
      <c r="K213" s="642"/>
      <c r="L213" s="614"/>
    </row>
    <row r="214" spans="1:12" ht="14.25" x14ac:dyDescent="0.2">
      <c r="A214" s="648"/>
      <c r="B214" s="649"/>
      <c r="C214" s="650"/>
      <c r="D214" s="641" t="s">
        <v>613</v>
      </c>
      <c r="E214" s="612"/>
      <c r="F214" s="614"/>
      <c r="G214" s="614"/>
      <c r="H214" s="614"/>
      <c r="I214" s="614"/>
      <c r="J214" s="614"/>
      <c r="K214" s="642"/>
      <c r="L214" s="614"/>
    </row>
    <row r="215" spans="1:12" ht="15.75" x14ac:dyDescent="0.25">
      <c r="A215" s="652"/>
      <c r="B215" s="653"/>
      <c r="C215" s="654"/>
      <c r="D215" s="655" t="s">
        <v>428</v>
      </c>
      <c r="E215" s="621">
        <v>0</v>
      </c>
      <c r="F215" s="599">
        <f t="shared" ref="F215:K217" si="140">SUM(F216)</f>
        <v>0</v>
      </c>
      <c r="G215" s="599">
        <f t="shared" si="140"/>
        <v>0</v>
      </c>
      <c r="H215" s="599">
        <f t="shared" si="140"/>
        <v>2500</v>
      </c>
      <c r="I215" s="599">
        <f t="shared" si="140"/>
        <v>-2500</v>
      </c>
      <c r="J215" s="599">
        <f t="shared" si="140"/>
        <v>0</v>
      </c>
      <c r="K215" s="656">
        <f t="shared" si="140"/>
        <v>0</v>
      </c>
      <c r="L215" s="727">
        <f t="shared" si="139"/>
        <v>0</v>
      </c>
    </row>
    <row r="216" spans="1:12" s="390" customFormat="1" ht="15.75" thickBot="1" x14ac:dyDescent="0.3">
      <c r="A216" s="644" t="s">
        <v>520</v>
      </c>
      <c r="B216" s="657"/>
      <c r="C216" s="624">
        <v>42</v>
      </c>
      <c r="D216" s="625" t="s">
        <v>96</v>
      </c>
      <c r="E216" s="626">
        <v>0</v>
      </c>
      <c r="F216" s="626">
        <f t="shared" si="140"/>
        <v>0</v>
      </c>
      <c r="G216" s="626">
        <f t="shared" si="140"/>
        <v>0</v>
      </c>
      <c r="H216" s="626">
        <f t="shared" si="140"/>
        <v>2500</v>
      </c>
      <c r="I216" s="626">
        <f t="shared" si="140"/>
        <v>-2500</v>
      </c>
      <c r="J216" s="626">
        <f t="shared" si="140"/>
        <v>0</v>
      </c>
      <c r="K216" s="627">
        <f t="shared" si="140"/>
        <v>0</v>
      </c>
      <c r="L216" s="727">
        <f t="shared" si="139"/>
        <v>0</v>
      </c>
    </row>
    <row r="217" spans="1:12" s="97" customFormat="1" ht="16.5" thickTop="1" x14ac:dyDescent="0.25">
      <c r="A217" s="647" t="s">
        <v>520</v>
      </c>
      <c r="B217" s="658"/>
      <c r="C217" s="629">
        <v>426</v>
      </c>
      <c r="D217" s="618" t="s">
        <v>117</v>
      </c>
      <c r="E217" s="612">
        <v>0</v>
      </c>
      <c r="F217" s="612">
        <f t="shared" si="140"/>
        <v>0</v>
      </c>
      <c r="G217" s="612">
        <f t="shared" si="140"/>
        <v>0</v>
      </c>
      <c r="H217" s="612">
        <f t="shared" si="140"/>
        <v>2500</v>
      </c>
      <c r="I217" s="612">
        <f t="shared" si="140"/>
        <v>-2500</v>
      </c>
      <c r="J217" s="612">
        <f t="shared" si="140"/>
        <v>0</v>
      </c>
      <c r="K217" s="619">
        <f t="shared" si="140"/>
        <v>0</v>
      </c>
      <c r="L217" s="384">
        <f t="shared" si="139"/>
        <v>0</v>
      </c>
    </row>
    <row r="218" spans="1:12" s="211" customFormat="1" ht="15.75" thickBot="1" x14ac:dyDescent="0.3">
      <c r="A218" s="659" t="s">
        <v>520</v>
      </c>
      <c r="B218" s="636"/>
      <c r="C218" s="660">
        <v>4264</v>
      </c>
      <c r="D218" s="638" t="s">
        <v>404</v>
      </c>
      <c r="E218" s="639">
        <v>0</v>
      </c>
      <c r="F218" s="639">
        <v>0</v>
      </c>
      <c r="G218" s="639">
        <f>F218/7.5345</f>
        <v>0</v>
      </c>
      <c r="H218" s="639">
        <v>2500</v>
      </c>
      <c r="I218" s="639">
        <v>-2500</v>
      </c>
      <c r="J218" s="639">
        <f>SUM(H218+I218)</f>
        <v>0</v>
      </c>
      <c r="K218" s="640">
        <f>J218*7.5345</f>
        <v>0</v>
      </c>
      <c r="L218" s="639">
        <f t="shared" si="139"/>
        <v>0</v>
      </c>
    </row>
    <row r="219" spans="1:12" ht="15" thickTop="1" x14ac:dyDescent="0.2">
      <c r="A219" s="401"/>
      <c r="B219" s="449"/>
      <c r="C219" s="40"/>
      <c r="D219" s="396" t="s">
        <v>214</v>
      </c>
      <c r="E219" s="373"/>
      <c r="F219" s="372"/>
      <c r="G219" s="372"/>
      <c r="H219" s="372"/>
      <c r="I219" s="372"/>
      <c r="J219" s="372"/>
      <c r="K219" s="526"/>
      <c r="L219" s="382"/>
    </row>
    <row r="220" spans="1:12" ht="14.25" x14ac:dyDescent="0.2">
      <c r="A220" s="401"/>
      <c r="B220" s="449"/>
      <c r="C220" s="40"/>
      <c r="D220" s="396" t="s">
        <v>603</v>
      </c>
      <c r="E220" s="363"/>
      <c r="F220" s="372"/>
      <c r="G220" s="372"/>
      <c r="H220" s="372"/>
      <c r="I220" s="372"/>
      <c r="J220" s="372"/>
      <c r="K220" s="526"/>
      <c r="L220" s="382"/>
    </row>
    <row r="221" spans="1:12" ht="15.75" x14ac:dyDescent="0.25">
      <c r="A221" s="425"/>
      <c r="B221" s="450"/>
      <c r="C221" s="97"/>
      <c r="D221" s="429" t="s">
        <v>585</v>
      </c>
      <c r="E221" s="426">
        <v>5000</v>
      </c>
      <c r="F221" s="424">
        <f t="shared" ref="F221:K223" si="141">SUM(F222)</f>
        <v>5000</v>
      </c>
      <c r="G221" s="424">
        <f t="shared" si="141"/>
        <v>663.61404207313024</v>
      </c>
      <c r="H221" s="424">
        <f t="shared" si="141"/>
        <v>700</v>
      </c>
      <c r="I221" s="424">
        <f t="shared" si="141"/>
        <v>-700</v>
      </c>
      <c r="J221" s="424">
        <f t="shared" si="141"/>
        <v>0</v>
      </c>
      <c r="K221" s="527">
        <f t="shared" si="141"/>
        <v>0</v>
      </c>
      <c r="L221" s="727">
        <f>AVERAGE(J221/H221*100)</f>
        <v>0</v>
      </c>
    </row>
    <row r="222" spans="1:12" s="390" customFormat="1" ht="15.75" thickBot="1" x14ac:dyDescent="0.3">
      <c r="A222" s="414" t="s">
        <v>645</v>
      </c>
      <c r="B222" s="447"/>
      <c r="C222" s="377">
        <v>38</v>
      </c>
      <c r="D222" s="365" t="s">
        <v>80</v>
      </c>
      <c r="E222" s="362">
        <v>5000</v>
      </c>
      <c r="F222" s="362">
        <f t="shared" si="141"/>
        <v>5000</v>
      </c>
      <c r="G222" s="362">
        <f t="shared" si="141"/>
        <v>663.61404207313024</v>
      </c>
      <c r="H222" s="362">
        <f t="shared" si="141"/>
        <v>700</v>
      </c>
      <c r="I222" s="362">
        <f t="shared" si="141"/>
        <v>-700</v>
      </c>
      <c r="J222" s="362">
        <f t="shared" si="141"/>
        <v>0</v>
      </c>
      <c r="K222" s="530">
        <f t="shared" si="141"/>
        <v>0</v>
      </c>
      <c r="L222" s="727">
        <f t="shared" ref="L222:L224" si="142">AVERAGE(J222/H222*100)</f>
        <v>0</v>
      </c>
    </row>
    <row r="223" spans="1:12" s="97" customFormat="1" ht="16.5" thickTop="1" x14ac:dyDescent="0.25">
      <c r="A223" s="357" t="s">
        <v>645</v>
      </c>
      <c r="B223" s="446"/>
      <c r="C223" s="375">
        <v>381</v>
      </c>
      <c r="D223" s="368" t="s">
        <v>37</v>
      </c>
      <c r="E223" s="363">
        <v>5000</v>
      </c>
      <c r="F223" s="363">
        <f t="shared" si="141"/>
        <v>5000</v>
      </c>
      <c r="G223" s="363">
        <f t="shared" si="141"/>
        <v>663.61404207313024</v>
      </c>
      <c r="H223" s="363">
        <f t="shared" si="141"/>
        <v>700</v>
      </c>
      <c r="I223" s="363">
        <f t="shared" si="141"/>
        <v>-700</v>
      </c>
      <c r="J223" s="363">
        <f t="shared" si="141"/>
        <v>0</v>
      </c>
      <c r="K223" s="529">
        <f t="shared" si="141"/>
        <v>0</v>
      </c>
      <c r="L223" s="384">
        <f t="shared" si="142"/>
        <v>0</v>
      </c>
    </row>
    <row r="224" spans="1:12" s="97" customFormat="1" ht="16.5" thickBot="1" x14ac:dyDescent="0.3">
      <c r="A224" s="406" t="s">
        <v>645</v>
      </c>
      <c r="B224" s="448"/>
      <c r="C224" s="407">
        <v>3811</v>
      </c>
      <c r="D224" s="387" t="s">
        <v>85</v>
      </c>
      <c r="E224" s="388">
        <v>5000</v>
      </c>
      <c r="F224" s="388">
        <v>5000</v>
      </c>
      <c r="G224" s="388">
        <f>F224/7.5345</f>
        <v>663.61404207313024</v>
      </c>
      <c r="H224" s="388">
        <v>700</v>
      </c>
      <c r="I224" s="388">
        <v>-700</v>
      </c>
      <c r="J224" s="388">
        <f>SUM(H224+I224)</f>
        <v>0</v>
      </c>
      <c r="K224" s="531">
        <f>J224*7.5345</f>
        <v>0</v>
      </c>
      <c r="L224" s="384">
        <f t="shared" si="142"/>
        <v>0</v>
      </c>
    </row>
    <row r="225" spans="1:12" s="28" customFormat="1" ht="15" thickTop="1" x14ac:dyDescent="0.2">
      <c r="A225" s="648"/>
      <c r="B225" s="649"/>
      <c r="C225" s="650"/>
      <c r="D225" s="641" t="s">
        <v>214</v>
      </c>
      <c r="E225" s="651"/>
      <c r="F225" s="614"/>
      <c r="G225" s="614"/>
      <c r="H225" s="614"/>
      <c r="I225" s="614"/>
      <c r="J225" s="614"/>
      <c r="K225" s="642"/>
      <c r="L225" s="849">
        <f>AVERAGE(J227/H227*100)</f>
        <v>0</v>
      </c>
    </row>
    <row r="226" spans="1:12" ht="14.25" x14ac:dyDescent="0.2">
      <c r="A226" s="648"/>
      <c r="B226" s="649"/>
      <c r="C226" s="650"/>
      <c r="D226" s="661" t="s">
        <v>603</v>
      </c>
      <c r="E226" s="612"/>
      <c r="F226" s="614"/>
      <c r="G226" s="614"/>
      <c r="H226" s="614"/>
      <c r="I226" s="614"/>
      <c r="J226" s="614"/>
      <c r="K226" s="642"/>
      <c r="L226" s="850"/>
    </row>
    <row r="227" spans="1:12" ht="15.75" x14ac:dyDescent="0.25">
      <c r="A227" s="652"/>
      <c r="B227" s="653"/>
      <c r="C227" s="654"/>
      <c r="D227" s="662" t="s">
        <v>586</v>
      </c>
      <c r="E227" s="621">
        <v>20000</v>
      </c>
      <c r="F227" s="599">
        <f t="shared" ref="F227:K229" si="143">SUM(F228)</f>
        <v>20000</v>
      </c>
      <c r="G227" s="599">
        <f t="shared" si="143"/>
        <v>2654.4561682925209</v>
      </c>
      <c r="H227" s="599">
        <f t="shared" si="143"/>
        <v>5000</v>
      </c>
      <c r="I227" s="599">
        <f t="shared" si="143"/>
        <v>-5000</v>
      </c>
      <c r="J227" s="599">
        <f t="shared" si="143"/>
        <v>0</v>
      </c>
      <c r="K227" s="656">
        <f t="shared" si="143"/>
        <v>0</v>
      </c>
      <c r="L227" s="851"/>
    </row>
    <row r="228" spans="1:12" ht="15" x14ac:dyDescent="0.25">
      <c r="A228" s="644" t="s">
        <v>646</v>
      </c>
      <c r="B228" s="623"/>
      <c r="C228" s="624">
        <v>32</v>
      </c>
      <c r="D228" s="625" t="s">
        <v>180</v>
      </c>
      <c r="E228" s="626">
        <v>20000</v>
      </c>
      <c r="F228" s="626">
        <f t="shared" si="143"/>
        <v>20000</v>
      </c>
      <c r="G228" s="626">
        <f t="shared" si="143"/>
        <v>2654.4561682925209</v>
      </c>
      <c r="H228" s="626">
        <f t="shared" si="143"/>
        <v>5000</v>
      </c>
      <c r="I228" s="626">
        <f t="shared" si="143"/>
        <v>-5000</v>
      </c>
      <c r="J228" s="626">
        <f t="shared" si="143"/>
        <v>0</v>
      </c>
      <c r="K228" s="627">
        <f t="shared" si="143"/>
        <v>0</v>
      </c>
      <c r="L228" s="728">
        <f>AVERAGE(J228/H228*100)</f>
        <v>0</v>
      </c>
    </row>
    <row r="229" spans="1:12" s="440" customFormat="1" ht="15" x14ac:dyDescent="0.25">
      <c r="A229" s="647" t="s">
        <v>646</v>
      </c>
      <c r="B229" s="628"/>
      <c r="C229" s="629">
        <v>322</v>
      </c>
      <c r="D229" s="618" t="s">
        <v>52</v>
      </c>
      <c r="E229" s="612">
        <v>20000</v>
      </c>
      <c r="F229" s="612">
        <f t="shared" si="143"/>
        <v>20000</v>
      </c>
      <c r="G229" s="612">
        <f t="shared" si="143"/>
        <v>2654.4561682925209</v>
      </c>
      <c r="H229" s="612">
        <f t="shared" si="143"/>
        <v>5000</v>
      </c>
      <c r="I229" s="612">
        <f t="shared" si="143"/>
        <v>-5000</v>
      </c>
      <c r="J229" s="612">
        <f t="shared" si="143"/>
        <v>0</v>
      </c>
      <c r="K229" s="619">
        <f t="shared" si="143"/>
        <v>0</v>
      </c>
      <c r="L229" s="646">
        <f t="shared" ref="L229:L230" si="144">AVERAGE(J229/H229*100)</f>
        <v>0</v>
      </c>
    </row>
    <row r="230" spans="1:12" ht="15" thickBot="1" x14ac:dyDescent="0.25">
      <c r="A230" s="659" t="s">
        <v>646</v>
      </c>
      <c r="B230" s="636"/>
      <c r="C230" s="637">
        <v>3227</v>
      </c>
      <c r="D230" s="638" t="s">
        <v>405</v>
      </c>
      <c r="E230" s="639">
        <v>20000</v>
      </c>
      <c r="F230" s="639">
        <v>20000</v>
      </c>
      <c r="G230" s="639">
        <f>F230/7.5345</f>
        <v>2654.4561682925209</v>
      </c>
      <c r="H230" s="639">
        <v>5000</v>
      </c>
      <c r="I230" s="639">
        <v>-5000</v>
      </c>
      <c r="J230" s="639">
        <f>SUM(H230+I230)</f>
        <v>0</v>
      </c>
      <c r="K230" s="640">
        <f>J230*7.5345</f>
        <v>0</v>
      </c>
      <c r="L230" s="646">
        <f t="shared" si="144"/>
        <v>0</v>
      </c>
    </row>
    <row r="231" spans="1:12" s="539" customFormat="1" ht="15" thickTop="1" x14ac:dyDescent="0.2">
      <c r="A231" s="648"/>
      <c r="B231" s="649"/>
      <c r="C231" s="650"/>
      <c r="D231" s="641" t="s">
        <v>214</v>
      </c>
      <c r="E231" s="651"/>
      <c r="F231" s="614"/>
      <c r="G231" s="614"/>
      <c r="H231" s="614"/>
      <c r="I231" s="614"/>
      <c r="J231" s="614"/>
      <c r="K231" s="642"/>
      <c r="L231" s="643"/>
    </row>
    <row r="232" spans="1:12" s="535" customFormat="1" ht="15.75" x14ac:dyDescent="0.25">
      <c r="A232" s="648"/>
      <c r="B232" s="649"/>
      <c r="C232" s="650"/>
      <c r="D232" s="661" t="s">
        <v>603</v>
      </c>
      <c r="E232" s="612"/>
      <c r="F232" s="614"/>
      <c r="G232" s="614"/>
      <c r="H232" s="614"/>
      <c r="I232" s="614"/>
      <c r="J232" s="614"/>
      <c r="K232" s="642"/>
      <c r="L232" s="643"/>
    </row>
    <row r="233" spans="1:12" s="536" customFormat="1" ht="15.75" x14ac:dyDescent="0.25">
      <c r="A233" s="652"/>
      <c r="B233" s="653"/>
      <c r="C233" s="654"/>
      <c r="D233" s="880" t="s">
        <v>587</v>
      </c>
      <c r="E233" s="621"/>
      <c r="F233" s="665"/>
      <c r="G233" s="665"/>
      <c r="H233" s="665"/>
      <c r="I233" s="665"/>
      <c r="J233" s="665"/>
      <c r="K233" s="666"/>
      <c r="L233" s="667"/>
    </row>
    <row r="234" spans="1:12" s="537" customFormat="1" ht="15.75" x14ac:dyDescent="0.25">
      <c r="A234" s="652"/>
      <c r="B234" s="653"/>
      <c r="C234" s="654"/>
      <c r="D234" s="881"/>
      <c r="E234" s="621">
        <v>45000</v>
      </c>
      <c r="F234" s="599">
        <f t="shared" ref="F234:K235" si="145">SUM(F235)</f>
        <v>25000</v>
      </c>
      <c r="G234" s="599">
        <f t="shared" si="145"/>
        <v>3318.0702103656513</v>
      </c>
      <c r="H234" s="599">
        <f t="shared" si="145"/>
        <v>6250</v>
      </c>
      <c r="I234" s="599">
        <f t="shared" si="145"/>
        <v>-600</v>
      </c>
      <c r="J234" s="599">
        <f t="shared" si="145"/>
        <v>5650</v>
      </c>
      <c r="K234" s="656">
        <f t="shared" si="145"/>
        <v>42569.925000000003</v>
      </c>
      <c r="L234" s="728">
        <f>AVERAGE(J234/H234*100)</f>
        <v>90.4</v>
      </c>
    </row>
    <row r="235" spans="1:12" s="537" customFormat="1" ht="15" x14ac:dyDescent="0.25">
      <c r="A235" s="644" t="s">
        <v>647</v>
      </c>
      <c r="B235" s="623"/>
      <c r="C235" s="624">
        <v>32</v>
      </c>
      <c r="D235" s="625" t="s">
        <v>180</v>
      </c>
      <c r="E235" s="626">
        <v>45000</v>
      </c>
      <c r="F235" s="626">
        <f t="shared" si="145"/>
        <v>25000</v>
      </c>
      <c r="G235" s="626">
        <f t="shared" si="145"/>
        <v>3318.0702103656513</v>
      </c>
      <c r="H235" s="626">
        <f t="shared" si="145"/>
        <v>6250</v>
      </c>
      <c r="I235" s="626">
        <f t="shared" si="145"/>
        <v>-600</v>
      </c>
      <c r="J235" s="626">
        <f t="shared" si="145"/>
        <v>5650</v>
      </c>
      <c r="K235" s="627">
        <f t="shared" si="145"/>
        <v>42569.925000000003</v>
      </c>
      <c r="L235" s="728">
        <f>AVERAGE(J235/H235*100)</f>
        <v>90.4</v>
      </c>
    </row>
    <row r="236" spans="1:12" s="538" customFormat="1" ht="15" x14ac:dyDescent="0.25">
      <c r="A236" s="647" t="s">
        <v>647</v>
      </c>
      <c r="B236" s="628"/>
      <c r="C236" s="629">
        <v>323</v>
      </c>
      <c r="D236" s="618" t="s">
        <v>117</v>
      </c>
      <c r="E236" s="612">
        <v>45000</v>
      </c>
      <c r="F236" s="612">
        <f t="shared" ref="F236:G236" si="146">SUM(F237:F238)</f>
        <v>25000</v>
      </c>
      <c r="G236" s="612">
        <f t="shared" si="146"/>
        <v>3318.0702103656513</v>
      </c>
      <c r="H236" s="612">
        <f>SUM(H237+H238)</f>
        <v>6250</v>
      </c>
      <c r="I236" s="612">
        <f t="shared" ref="I236:J236" si="147">SUM(I237+I238)</f>
        <v>-600</v>
      </c>
      <c r="J236" s="612">
        <f t="shared" si="147"/>
        <v>5650</v>
      </c>
      <c r="K236" s="619">
        <f t="shared" ref="K236" si="148">SUM(K237:K238)</f>
        <v>42569.925000000003</v>
      </c>
      <c r="L236" s="646">
        <f t="shared" ref="L236:L239" si="149">AVERAGE(J236/H236*100)</f>
        <v>90.4</v>
      </c>
    </row>
    <row r="237" spans="1:12" s="537" customFormat="1" ht="14.25" x14ac:dyDescent="0.2">
      <c r="A237" s="647" t="s">
        <v>647</v>
      </c>
      <c r="B237" s="628"/>
      <c r="C237" s="629">
        <v>3237</v>
      </c>
      <c r="D237" s="618" t="s">
        <v>502</v>
      </c>
      <c r="E237" s="612">
        <v>15000</v>
      </c>
      <c r="F237" s="612">
        <v>15000</v>
      </c>
      <c r="G237" s="612">
        <f>F237/7.5345</f>
        <v>1990.8421262193906</v>
      </c>
      <c r="H237" s="612">
        <v>2500</v>
      </c>
      <c r="I237" s="612">
        <v>0</v>
      </c>
      <c r="J237" s="612">
        <f>SUM(H237+I237)</f>
        <v>2500</v>
      </c>
      <c r="K237" s="619">
        <f>J237*7.5345</f>
        <v>18836.25</v>
      </c>
      <c r="L237" s="646">
        <f t="shared" si="149"/>
        <v>100</v>
      </c>
    </row>
    <row r="238" spans="1:12" s="210" customFormat="1" ht="15" thickBot="1" x14ac:dyDescent="0.25">
      <c r="A238" s="647" t="s">
        <v>647</v>
      </c>
      <c r="B238" s="631"/>
      <c r="C238" s="632">
        <v>3237</v>
      </c>
      <c r="D238" s="633" t="s">
        <v>62</v>
      </c>
      <c r="E238" s="634">
        <v>30000</v>
      </c>
      <c r="F238" s="634">
        <v>10000</v>
      </c>
      <c r="G238" s="612">
        <f>F238/7.5345</f>
        <v>1327.2280841462605</v>
      </c>
      <c r="H238" s="612">
        <v>3750</v>
      </c>
      <c r="I238" s="612">
        <v>-600</v>
      </c>
      <c r="J238" s="612">
        <f>SUM(H238+I238)</f>
        <v>3150</v>
      </c>
      <c r="K238" s="619">
        <f>J238*7.5345</f>
        <v>23733.675000000003</v>
      </c>
      <c r="L238" s="646">
        <f t="shared" si="149"/>
        <v>84</v>
      </c>
    </row>
    <row r="239" spans="1:12" s="97" customFormat="1" ht="18.75" thickBot="1" x14ac:dyDescent="0.3">
      <c r="A239" s="852" t="s">
        <v>577</v>
      </c>
      <c r="B239" s="853"/>
      <c r="C239" s="853"/>
      <c r="D239" s="854"/>
      <c r="E239" s="541">
        <v>200000</v>
      </c>
      <c r="F239" s="541">
        <f t="shared" ref="F239:H239" si="150">SUM(F242)</f>
        <v>600000</v>
      </c>
      <c r="G239" s="541">
        <f t="shared" si="150"/>
        <v>79633.685048775631</v>
      </c>
      <c r="H239" s="541">
        <f t="shared" si="150"/>
        <v>90000</v>
      </c>
      <c r="I239" s="541">
        <f t="shared" ref="I239:J239" si="151">SUM(I242)</f>
        <v>0</v>
      </c>
      <c r="J239" s="541">
        <f t="shared" si="151"/>
        <v>90000</v>
      </c>
      <c r="K239" s="546">
        <f t="shared" ref="K239" si="152">SUM(K242)</f>
        <v>678105</v>
      </c>
      <c r="L239" s="541">
        <f t="shared" si="149"/>
        <v>100</v>
      </c>
    </row>
    <row r="240" spans="1:12" s="28" customFormat="1" ht="14.25" x14ac:dyDescent="0.2">
      <c r="A240" s="401"/>
      <c r="B240" s="40"/>
      <c r="C240" s="40"/>
      <c r="D240" s="396" t="s">
        <v>429</v>
      </c>
      <c r="E240" s="373">
        <v>200000</v>
      </c>
      <c r="F240" s="372"/>
      <c r="G240" s="372"/>
      <c r="H240" s="372"/>
      <c r="I240" s="372"/>
      <c r="J240" s="372"/>
      <c r="K240" s="526"/>
      <c r="L240" s="372"/>
    </row>
    <row r="241" spans="1:12" ht="14.25" x14ac:dyDescent="0.2">
      <c r="A241" s="401"/>
      <c r="B241" s="40"/>
      <c r="C241" s="40"/>
      <c r="D241" s="396" t="s">
        <v>614</v>
      </c>
      <c r="E241" s="363">
        <v>200000</v>
      </c>
      <c r="F241" s="372"/>
      <c r="G241" s="372"/>
      <c r="H241" s="372"/>
      <c r="I241" s="372"/>
      <c r="J241" s="372"/>
      <c r="K241" s="526"/>
      <c r="L241" s="372"/>
    </row>
    <row r="242" spans="1:12" ht="31.5" x14ac:dyDescent="0.25">
      <c r="A242" s="425"/>
      <c r="B242" s="97"/>
      <c r="C242" s="97"/>
      <c r="D242" s="429" t="s">
        <v>466</v>
      </c>
      <c r="E242" s="426">
        <v>200000</v>
      </c>
      <c r="F242" s="424">
        <f t="shared" ref="F242:K244" si="153">SUM(F243)</f>
        <v>600000</v>
      </c>
      <c r="G242" s="424">
        <f t="shared" si="153"/>
        <v>79633.685048775631</v>
      </c>
      <c r="H242" s="599">
        <f t="shared" si="153"/>
        <v>90000</v>
      </c>
      <c r="I242" s="599">
        <f t="shared" si="153"/>
        <v>0</v>
      </c>
      <c r="J242" s="599">
        <f t="shared" si="153"/>
        <v>90000</v>
      </c>
      <c r="K242" s="527">
        <f t="shared" si="153"/>
        <v>678105</v>
      </c>
      <c r="L242" s="727">
        <f>AVERAGE(J242/H242*100)</f>
        <v>100</v>
      </c>
    </row>
    <row r="243" spans="1:12" ht="15" x14ac:dyDescent="0.25">
      <c r="A243" s="358" t="s">
        <v>456</v>
      </c>
      <c r="B243" s="364"/>
      <c r="C243" s="354">
        <v>38</v>
      </c>
      <c r="D243" s="365" t="s">
        <v>80</v>
      </c>
      <c r="E243" s="362">
        <v>200000</v>
      </c>
      <c r="F243" s="362">
        <f t="shared" si="153"/>
        <v>600000</v>
      </c>
      <c r="G243" s="362">
        <f t="shared" si="153"/>
        <v>79633.685048775631</v>
      </c>
      <c r="H243" s="626">
        <f t="shared" si="153"/>
        <v>90000</v>
      </c>
      <c r="I243" s="626">
        <f t="shared" si="153"/>
        <v>0</v>
      </c>
      <c r="J243" s="626">
        <f t="shared" si="153"/>
        <v>90000</v>
      </c>
      <c r="K243" s="530">
        <f t="shared" si="153"/>
        <v>678105</v>
      </c>
      <c r="L243" s="727">
        <f>AVERAGE(J243/H243*100)</f>
        <v>100</v>
      </c>
    </row>
    <row r="244" spans="1:12" s="390" customFormat="1" ht="15" thickBot="1" x14ac:dyDescent="0.25">
      <c r="A244" s="355" t="s">
        <v>456</v>
      </c>
      <c r="B244" s="366"/>
      <c r="C244" s="367">
        <v>381</v>
      </c>
      <c r="D244" s="368" t="s">
        <v>37</v>
      </c>
      <c r="E244" s="363">
        <v>200000</v>
      </c>
      <c r="F244" s="363">
        <f t="shared" si="153"/>
        <v>600000</v>
      </c>
      <c r="G244" s="363">
        <f t="shared" si="153"/>
        <v>79633.685048775631</v>
      </c>
      <c r="H244" s="612">
        <f t="shared" si="153"/>
        <v>90000</v>
      </c>
      <c r="I244" s="612">
        <f t="shared" si="153"/>
        <v>0</v>
      </c>
      <c r="J244" s="612">
        <f t="shared" si="153"/>
        <v>90000</v>
      </c>
      <c r="K244" s="529">
        <f t="shared" si="153"/>
        <v>678105</v>
      </c>
      <c r="L244" s="384">
        <f t="shared" ref="L244:L246" si="154">AVERAGE(J244/H244*100)</f>
        <v>100</v>
      </c>
    </row>
    <row r="245" spans="1:12" s="97" customFormat="1" ht="17.25" thickTop="1" thickBot="1" x14ac:dyDescent="0.3">
      <c r="A245" s="355" t="s">
        <v>456</v>
      </c>
      <c r="B245" s="453"/>
      <c r="C245" s="399">
        <v>3811</v>
      </c>
      <c r="D245" s="370" t="s">
        <v>84</v>
      </c>
      <c r="E245" s="361">
        <v>200000</v>
      </c>
      <c r="F245" s="361">
        <v>600000</v>
      </c>
      <c r="G245" s="363">
        <f>F245/7.5345</f>
        <v>79633.685048775631</v>
      </c>
      <c r="H245" s="612">
        <v>90000</v>
      </c>
      <c r="I245" s="363">
        <v>0</v>
      </c>
      <c r="J245" s="363">
        <f>SUM(H245+I245)</f>
        <v>90000</v>
      </c>
      <c r="K245" s="529">
        <f>J245*7.5345</f>
        <v>678105</v>
      </c>
      <c r="L245" s="384">
        <f t="shared" si="154"/>
        <v>100</v>
      </c>
    </row>
    <row r="246" spans="1:12" s="28" customFormat="1" ht="18.75" thickBot="1" x14ac:dyDescent="0.25">
      <c r="A246" s="852" t="s">
        <v>578</v>
      </c>
      <c r="B246" s="853"/>
      <c r="C246" s="853"/>
      <c r="D246" s="854"/>
      <c r="E246" s="541">
        <f t="shared" ref="E246:H246" si="155">SUM(E249+E255)</f>
        <v>45000</v>
      </c>
      <c r="F246" s="541">
        <f t="shared" si="155"/>
        <v>127000</v>
      </c>
      <c r="G246" s="541">
        <f t="shared" si="155"/>
        <v>16855.796668657509</v>
      </c>
      <c r="H246" s="541">
        <f t="shared" si="155"/>
        <v>21200</v>
      </c>
      <c r="I246" s="541">
        <f t="shared" ref="I246:K246" si="156">SUM(I249+I255)</f>
        <v>-150</v>
      </c>
      <c r="J246" s="541">
        <f t="shared" si="156"/>
        <v>21050</v>
      </c>
      <c r="K246" s="546">
        <f t="shared" si="156"/>
        <v>158601.22500000001</v>
      </c>
      <c r="L246" s="541">
        <f t="shared" si="154"/>
        <v>99.29245283018868</v>
      </c>
    </row>
    <row r="247" spans="1:12" ht="14.25" x14ac:dyDescent="0.2">
      <c r="A247" s="401"/>
      <c r="B247" s="40"/>
      <c r="C247" s="40"/>
      <c r="D247" s="396" t="s">
        <v>227</v>
      </c>
      <c r="E247" s="373"/>
      <c r="F247" s="372"/>
      <c r="G247" s="372"/>
      <c r="H247" s="372"/>
      <c r="I247" s="372"/>
      <c r="J247" s="372"/>
      <c r="K247" s="526"/>
      <c r="L247" s="862">
        <f>AVERAGE(J249/H249*100)</f>
        <v>100</v>
      </c>
    </row>
    <row r="248" spans="1:12" ht="14.25" x14ac:dyDescent="0.2">
      <c r="A248" s="401"/>
      <c r="B248" s="40"/>
      <c r="C248" s="40"/>
      <c r="D248" s="395" t="s">
        <v>603</v>
      </c>
      <c r="E248" s="363"/>
      <c r="F248" s="372"/>
      <c r="G248" s="372"/>
      <c r="H248" s="372"/>
      <c r="I248" s="372"/>
      <c r="J248" s="372"/>
      <c r="K248" s="526"/>
      <c r="L248" s="844"/>
    </row>
    <row r="249" spans="1:12" ht="31.5" x14ac:dyDescent="0.25">
      <c r="A249" s="425"/>
      <c r="B249" s="97"/>
      <c r="C249" s="97"/>
      <c r="D249" s="429" t="s">
        <v>431</v>
      </c>
      <c r="E249" s="426">
        <v>20000</v>
      </c>
      <c r="F249" s="424">
        <f t="shared" ref="F249:K251" si="157">SUM(F250)</f>
        <v>25000</v>
      </c>
      <c r="G249" s="424">
        <f t="shared" si="157"/>
        <v>3318.0702103656513</v>
      </c>
      <c r="H249" s="424">
        <f t="shared" si="157"/>
        <v>3500</v>
      </c>
      <c r="I249" s="424">
        <f t="shared" si="157"/>
        <v>0</v>
      </c>
      <c r="J249" s="424">
        <f t="shared" si="157"/>
        <v>3500</v>
      </c>
      <c r="K249" s="527">
        <f t="shared" si="157"/>
        <v>26370.75</v>
      </c>
      <c r="L249" s="845"/>
    </row>
    <row r="250" spans="1:12" ht="15" x14ac:dyDescent="0.25">
      <c r="A250" s="358" t="s">
        <v>542</v>
      </c>
      <c r="B250" s="364"/>
      <c r="C250" s="354">
        <v>38</v>
      </c>
      <c r="D250" s="365" t="s">
        <v>80</v>
      </c>
      <c r="E250" s="362">
        <v>20000</v>
      </c>
      <c r="F250" s="362">
        <f t="shared" si="157"/>
        <v>25000</v>
      </c>
      <c r="G250" s="362">
        <f t="shared" si="157"/>
        <v>3318.0702103656513</v>
      </c>
      <c r="H250" s="362">
        <f t="shared" si="157"/>
        <v>3500</v>
      </c>
      <c r="I250" s="362">
        <f t="shared" si="157"/>
        <v>0</v>
      </c>
      <c r="J250" s="362">
        <f t="shared" si="157"/>
        <v>3500</v>
      </c>
      <c r="K250" s="530">
        <f t="shared" si="157"/>
        <v>26370.75</v>
      </c>
      <c r="L250" s="727">
        <f>AVERAGE(J250/H250*100)</f>
        <v>100</v>
      </c>
    </row>
    <row r="251" spans="1:12" ht="14.25" x14ac:dyDescent="0.2">
      <c r="A251" s="355" t="s">
        <v>542</v>
      </c>
      <c r="B251" s="446"/>
      <c r="C251" s="367">
        <v>381</v>
      </c>
      <c r="D251" s="368" t="s">
        <v>37</v>
      </c>
      <c r="E251" s="363">
        <v>20000</v>
      </c>
      <c r="F251" s="363">
        <f t="shared" si="157"/>
        <v>25000</v>
      </c>
      <c r="G251" s="363">
        <f t="shared" si="157"/>
        <v>3318.0702103656513</v>
      </c>
      <c r="H251" s="363">
        <f t="shared" si="157"/>
        <v>3500</v>
      </c>
      <c r="I251" s="363">
        <f t="shared" si="157"/>
        <v>0</v>
      </c>
      <c r="J251" s="363">
        <f t="shared" si="157"/>
        <v>3500</v>
      </c>
      <c r="K251" s="529">
        <f t="shared" si="157"/>
        <v>26370.75</v>
      </c>
      <c r="L251" s="384">
        <f t="shared" ref="L251:L252" si="158">AVERAGE(J251/H251*100)</f>
        <v>100</v>
      </c>
    </row>
    <row r="252" spans="1:12" ht="15" thickBot="1" x14ac:dyDescent="0.25">
      <c r="A252" s="404" t="s">
        <v>542</v>
      </c>
      <c r="B252" s="448"/>
      <c r="C252" s="386">
        <v>3811</v>
      </c>
      <c r="D252" s="387" t="s">
        <v>85</v>
      </c>
      <c r="E252" s="388">
        <v>20000</v>
      </c>
      <c r="F252" s="388">
        <v>25000</v>
      </c>
      <c r="G252" s="388">
        <f>F252/7.5345</f>
        <v>3318.0702103656513</v>
      </c>
      <c r="H252" s="388">
        <v>3500</v>
      </c>
      <c r="I252" s="388">
        <v>0</v>
      </c>
      <c r="J252" s="388">
        <f>SUM(H252+I252)</f>
        <v>3500</v>
      </c>
      <c r="K252" s="531">
        <f>J252*7.5345</f>
        <v>26370.75</v>
      </c>
      <c r="L252" s="384">
        <f t="shared" si="158"/>
        <v>100</v>
      </c>
    </row>
    <row r="253" spans="1:12" s="440" customFormat="1" ht="15.75" thickTop="1" x14ac:dyDescent="0.25">
      <c r="A253" s="401"/>
      <c r="B253" s="451"/>
      <c r="C253" s="40"/>
      <c r="D253" s="396" t="s">
        <v>227</v>
      </c>
      <c r="E253" s="373"/>
      <c r="F253" s="372"/>
      <c r="G253" s="372"/>
      <c r="H253" s="372"/>
      <c r="I253" s="372"/>
      <c r="J253" s="372"/>
      <c r="K253" s="526"/>
      <c r="L253" s="843">
        <f>AVERAGE(J255/H255*100)</f>
        <v>99.152542372881356</v>
      </c>
    </row>
    <row r="254" spans="1:12" ht="14.25" x14ac:dyDescent="0.2">
      <c r="A254" s="401"/>
      <c r="B254" s="451"/>
      <c r="C254" s="40"/>
      <c r="D254" s="395" t="s">
        <v>610</v>
      </c>
      <c r="E254" s="363"/>
      <c r="F254" s="372"/>
      <c r="G254" s="372"/>
      <c r="H254" s="372"/>
      <c r="I254" s="372"/>
      <c r="J254" s="372"/>
      <c r="K254" s="526"/>
      <c r="L254" s="844"/>
    </row>
    <row r="255" spans="1:12" s="210" customFormat="1" ht="15.75" x14ac:dyDescent="0.25">
      <c r="A255" s="652"/>
      <c r="B255" s="664"/>
      <c r="C255" s="654"/>
      <c r="D255" s="613" t="s">
        <v>430</v>
      </c>
      <c r="E255" s="426">
        <v>25000</v>
      </c>
      <c r="F255" s="424">
        <f t="shared" ref="F255:K255" si="159">SUM(F256)</f>
        <v>102000</v>
      </c>
      <c r="G255" s="424">
        <f t="shared" si="159"/>
        <v>13537.726458291856</v>
      </c>
      <c r="H255" s="424">
        <f t="shared" si="159"/>
        <v>17700</v>
      </c>
      <c r="I255" s="424">
        <f t="shared" si="159"/>
        <v>-150</v>
      </c>
      <c r="J255" s="424">
        <f t="shared" si="159"/>
        <v>17550</v>
      </c>
      <c r="K255" s="527">
        <f t="shared" si="159"/>
        <v>132230.47500000001</v>
      </c>
      <c r="L255" s="845"/>
    </row>
    <row r="256" spans="1:12" s="97" customFormat="1" ht="15.75" x14ac:dyDescent="0.25">
      <c r="A256" s="358" t="s">
        <v>543</v>
      </c>
      <c r="B256" s="447"/>
      <c r="C256" s="354">
        <v>32</v>
      </c>
      <c r="D256" s="365" t="s">
        <v>180</v>
      </c>
      <c r="E256" s="362">
        <v>25000</v>
      </c>
      <c r="F256" s="362">
        <f t="shared" ref="F256:J256" si="160">SUM(F257+F260)</f>
        <v>102000</v>
      </c>
      <c r="G256" s="362">
        <f t="shared" si="160"/>
        <v>13537.726458291856</v>
      </c>
      <c r="H256" s="362">
        <f t="shared" si="160"/>
        <v>17700</v>
      </c>
      <c r="I256" s="362">
        <f t="shared" si="160"/>
        <v>-150</v>
      </c>
      <c r="J256" s="362">
        <f t="shared" si="160"/>
        <v>17550</v>
      </c>
      <c r="K256" s="530">
        <f t="shared" ref="K256" si="161">SUM(K257+K260)</f>
        <v>132230.47500000001</v>
      </c>
      <c r="L256" s="727">
        <f>AVERAGE(J256/H256*100)</f>
        <v>99.152542372881356</v>
      </c>
    </row>
    <row r="257" spans="1:12" s="211" customFormat="1" ht="15" x14ac:dyDescent="0.25">
      <c r="A257" s="355" t="s">
        <v>543</v>
      </c>
      <c r="B257" s="446"/>
      <c r="C257" s="367">
        <v>323</v>
      </c>
      <c r="D257" s="368" t="s">
        <v>56</v>
      </c>
      <c r="E257" s="363">
        <v>8000</v>
      </c>
      <c r="F257" s="363">
        <f t="shared" ref="F257:J257" si="162">SUM(F258:F259)</f>
        <v>90000</v>
      </c>
      <c r="G257" s="363">
        <f t="shared" si="162"/>
        <v>11945.052757316344</v>
      </c>
      <c r="H257" s="363">
        <f t="shared" si="162"/>
        <v>14600</v>
      </c>
      <c r="I257" s="363">
        <f t="shared" si="162"/>
        <v>-150</v>
      </c>
      <c r="J257" s="363">
        <f t="shared" si="162"/>
        <v>14450</v>
      </c>
      <c r="K257" s="529">
        <f t="shared" ref="K257" si="163">SUM(K258:K259)</f>
        <v>108873.52499999999</v>
      </c>
      <c r="L257" s="384">
        <f t="shared" ref="L257:L263" si="164">AVERAGE(J257/H257*100)</f>
        <v>98.972602739726028</v>
      </c>
    </row>
    <row r="258" spans="1:12" ht="14.25" x14ac:dyDescent="0.2">
      <c r="A258" s="355" t="s">
        <v>543</v>
      </c>
      <c r="B258" s="446"/>
      <c r="C258" s="367">
        <v>3233</v>
      </c>
      <c r="D258" s="368" t="s">
        <v>59</v>
      </c>
      <c r="E258" s="363">
        <v>5000</v>
      </c>
      <c r="F258" s="363">
        <v>10000</v>
      </c>
      <c r="G258" s="363">
        <f>F258/7.5345</f>
        <v>1327.2280841462605</v>
      </c>
      <c r="H258" s="363">
        <v>9000</v>
      </c>
      <c r="I258" s="363">
        <v>-150</v>
      </c>
      <c r="J258" s="363">
        <f>SUM(H258+I258)</f>
        <v>8850</v>
      </c>
      <c r="K258" s="529">
        <f>J258*7.5345</f>
        <v>66680.324999999997</v>
      </c>
      <c r="L258" s="384">
        <f t="shared" si="164"/>
        <v>98.333333333333329</v>
      </c>
    </row>
    <row r="259" spans="1:12" ht="14.25" x14ac:dyDescent="0.2">
      <c r="A259" s="355" t="s">
        <v>543</v>
      </c>
      <c r="B259" s="446"/>
      <c r="C259" s="367">
        <v>3239</v>
      </c>
      <c r="D259" s="368" t="s">
        <v>64</v>
      </c>
      <c r="E259" s="363">
        <v>3000</v>
      </c>
      <c r="F259" s="363">
        <v>80000</v>
      </c>
      <c r="G259" s="363">
        <f>F259/7.5345</f>
        <v>10617.824673170084</v>
      </c>
      <c r="H259" s="363">
        <v>5600</v>
      </c>
      <c r="I259" s="363">
        <v>0</v>
      </c>
      <c r="J259" s="363">
        <f>SUM(H259+I259)</f>
        <v>5600</v>
      </c>
      <c r="K259" s="529">
        <f>J259*7.5345</f>
        <v>42193.200000000004</v>
      </c>
      <c r="L259" s="384">
        <f t="shared" si="164"/>
        <v>100</v>
      </c>
    </row>
    <row r="260" spans="1:12" ht="14.25" x14ac:dyDescent="0.2">
      <c r="A260" s="355" t="s">
        <v>543</v>
      </c>
      <c r="B260" s="446"/>
      <c r="C260" s="367">
        <v>329</v>
      </c>
      <c r="D260" s="368" t="s">
        <v>65</v>
      </c>
      <c r="E260" s="363">
        <v>17000</v>
      </c>
      <c r="F260" s="363">
        <f t="shared" ref="F260:G260" si="165">SUM(F261:F262)</f>
        <v>12000</v>
      </c>
      <c r="G260" s="363">
        <f t="shared" si="165"/>
        <v>1592.6737009755125</v>
      </c>
      <c r="H260" s="363">
        <f>SUM(H261+H262)</f>
        <v>3100</v>
      </c>
      <c r="I260" s="363">
        <f t="shared" ref="I260:J260" si="166">SUM(I261+I262)</f>
        <v>0</v>
      </c>
      <c r="J260" s="363">
        <f t="shared" si="166"/>
        <v>3100</v>
      </c>
      <c r="K260" s="529">
        <f t="shared" ref="K260" si="167">SUM(K261:K262)</f>
        <v>23356.95</v>
      </c>
      <c r="L260" s="384">
        <f t="shared" si="164"/>
        <v>100</v>
      </c>
    </row>
    <row r="261" spans="1:12" ht="14.25" x14ac:dyDescent="0.2">
      <c r="A261" s="355" t="s">
        <v>543</v>
      </c>
      <c r="B261" s="446"/>
      <c r="C261" s="367">
        <v>3293</v>
      </c>
      <c r="D261" s="368" t="s">
        <v>68</v>
      </c>
      <c r="E261" s="363">
        <v>15000</v>
      </c>
      <c r="F261" s="363">
        <v>10000</v>
      </c>
      <c r="G261" s="363">
        <f>F261/7.5345</f>
        <v>1327.2280841462605</v>
      </c>
      <c r="H261" s="363">
        <v>3100</v>
      </c>
      <c r="I261" s="363">
        <v>0</v>
      </c>
      <c r="J261" s="363">
        <f>SUM(H261+I261)</f>
        <v>3100</v>
      </c>
      <c r="K261" s="529">
        <f>J261*7.5345</f>
        <v>23356.95</v>
      </c>
      <c r="L261" s="384">
        <f t="shared" si="164"/>
        <v>100</v>
      </c>
    </row>
    <row r="262" spans="1:12" s="440" customFormat="1" ht="15.75" thickBot="1" x14ac:dyDescent="0.3">
      <c r="A262" s="355" t="s">
        <v>543</v>
      </c>
      <c r="B262" s="453"/>
      <c r="C262" s="399">
        <v>3299</v>
      </c>
      <c r="D262" s="370" t="s">
        <v>231</v>
      </c>
      <c r="E262" s="361">
        <v>2000</v>
      </c>
      <c r="F262" s="361">
        <v>2000</v>
      </c>
      <c r="G262" s="363">
        <f>F262/7.5345</f>
        <v>265.44561682925212</v>
      </c>
      <c r="H262" s="363">
        <v>0</v>
      </c>
      <c r="I262" s="363">
        <v>0</v>
      </c>
      <c r="J262" s="363">
        <f>SUM(H262+I262)</f>
        <v>0</v>
      </c>
      <c r="K262" s="529">
        <f>J262*7.5345</f>
        <v>0</v>
      </c>
      <c r="L262" s="384" t="e">
        <f t="shared" si="164"/>
        <v>#DIV/0!</v>
      </c>
    </row>
    <row r="263" spans="1:12" ht="18.75" thickBot="1" x14ac:dyDescent="0.25">
      <c r="A263" s="852" t="s">
        <v>579</v>
      </c>
      <c r="B263" s="853"/>
      <c r="C263" s="853"/>
      <c r="D263" s="854"/>
      <c r="E263" s="541">
        <v>70000</v>
      </c>
      <c r="F263" s="541">
        <f t="shared" ref="F263:H263" si="168">SUM(F266)</f>
        <v>45000</v>
      </c>
      <c r="G263" s="541">
        <f t="shared" si="168"/>
        <v>5972.5263786581727</v>
      </c>
      <c r="H263" s="541">
        <f t="shared" si="168"/>
        <v>53000</v>
      </c>
      <c r="I263" s="541">
        <f t="shared" ref="I263:J263" si="169">SUM(I266)</f>
        <v>2500</v>
      </c>
      <c r="J263" s="541">
        <f t="shared" si="169"/>
        <v>55500</v>
      </c>
      <c r="K263" s="546">
        <f t="shared" ref="K263" si="170">SUM(K266)</f>
        <v>418164.75</v>
      </c>
      <c r="L263" s="541">
        <f t="shared" si="164"/>
        <v>104.71698113207549</v>
      </c>
    </row>
    <row r="264" spans="1:12" s="210" customFormat="1" ht="14.25" x14ac:dyDescent="0.2">
      <c r="A264" s="401"/>
      <c r="B264" s="40"/>
      <c r="C264" s="40"/>
      <c r="D264" s="396" t="s">
        <v>234</v>
      </c>
      <c r="E264" s="373"/>
      <c r="F264" s="372"/>
      <c r="G264" s="372"/>
      <c r="H264" s="372"/>
      <c r="I264" s="372"/>
      <c r="J264" s="372"/>
      <c r="K264" s="526"/>
      <c r="L264" s="862">
        <f>AVERAGE(J266/H266*100)</f>
        <v>104.71698113207549</v>
      </c>
    </row>
    <row r="265" spans="1:12" s="97" customFormat="1" ht="15.75" x14ac:dyDescent="0.25">
      <c r="A265" s="401"/>
      <c r="B265" s="40"/>
      <c r="C265" s="40"/>
      <c r="D265" s="397" t="s">
        <v>603</v>
      </c>
      <c r="E265" s="363"/>
      <c r="F265" s="372"/>
      <c r="G265" s="372"/>
      <c r="H265" s="372"/>
      <c r="I265" s="372"/>
      <c r="J265" s="372"/>
      <c r="K265" s="526"/>
      <c r="L265" s="844"/>
    </row>
    <row r="266" spans="1:12" s="28" customFormat="1" ht="15.75" x14ac:dyDescent="0.25">
      <c r="A266" s="425"/>
      <c r="B266" s="97"/>
      <c r="C266" s="97"/>
      <c r="D266" s="613" t="s">
        <v>433</v>
      </c>
      <c r="E266" s="426">
        <v>70000</v>
      </c>
      <c r="F266" s="424">
        <f t="shared" ref="F266:K266" si="171">SUM(F267)</f>
        <v>45000</v>
      </c>
      <c r="G266" s="424">
        <f t="shared" si="171"/>
        <v>5972.5263786581727</v>
      </c>
      <c r="H266" s="424">
        <f t="shared" si="171"/>
        <v>53000</v>
      </c>
      <c r="I266" s="424">
        <f t="shared" si="171"/>
        <v>2500</v>
      </c>
      <c r="J266" s="424">
        <f t="shared" si="171"/>
        <v>55500</v>
      </c>
      <c r="K266" s="527">
        <f t="shared" si="171"/>
        <v>418164.75</v>
      </c>
      <c r="L266" s="845"/>
    </row>
    <row r="267" spans="1:12" ht="15" x14ac:dyDescent="0.25">
      <c r="A267" s="358" t="s">
        <v>544</v>
      </c>
      <c r="B267" s="447"/>
      <c r="C267" s="354">
        <v>38</v>
      </c>
      <c r="D267" s="365" t="s">
        <v>80</v>
      </c>
      <c r="E267" s="362">
        <v>70000</v>
      </c>
      <c r="F267" s="362">
        <f t="shared" ref="F267:J267" si="172">SUM(F268+F270)</f>
        <v>45000</v>
      </c>
      <c r="G267" s="362">
        <f t="shared" si="172"/>
        <v>5972.5263786581727</v>
      </c>
      <c r="H267" s="362">
        <f t="shared" si="172"/>
        <v>53000</v>
      </c>
      <c r="I267" s="362">
        <f t="shared" si="172"/>
        <v>2500</v>
      </c>
      <c r="J267" s="362">
        <f t="shared" si="172"/>
        <v>55500</v>
      </c>
      <c r="K267" s="530">
        <f t="shared" ref="K267" si="173">SUM(K268+K270)</f>
        <v>418164.75</v>
      </c>
      <c r="L267" s="727">
        <f>AVERAGE(J267/H267*100)</f>
        <v>104.71698113207549</v>
      </c>
    </row>
    <row r="268" spans="1:12" ht="14.25" x14ac:dyDescent="0.2">
      <c r="A268" s="355" t="s">
        <v>544</v>
      </c>
      <c r="B268" s="446"/>
      <c r="C268" s="367">
        <v>381</v>
      </c>
      <c r="D268" s="368" t="s">
        <v>37</v>
      </c>
      <c r="E268" s="363">
        <v>50000</v>
      </c>
      <c r="F268" s="363">
        <f t="shared" ref="F268:K268" si="174">SUM(F269)</f>
        <v>20000</v>
      </c>
      <c r="G268" s="363">
        <f t="shared" si="174"/>
        <v>2654.4561682925209</v>
      </c>
      <c r="H268" s="363">
        <f t="shared" si="174"/>
        <v>8000</v>
      </c>
      <c r="I268" s="363">
        <f>SUM(I269)</f>
        <v>-3500</v>
      </c>
      <c r="J268" s="363">
        <f t="shared" si="174"/>
        <v>4500</v>
      </c>
      <c r="K268" s="529">
        <f t="shared" si="174"/>
        <v>33905.25</v>
      </c>
      <c r="L268" s="384">
        <f t="shared" ref="L268:L272" si="175">AVERAGE(J268/H268*100)</f>
        <v>56.25</v>
      </c>
    </row>
    <row r="269" spans="1:12" ht="14.25" x14ac:dyDescent="0.2">
      <c r="A269" s="355" t="s">
        <v>544</v>
      </c>
      <c r="B269" s="446"/>
      <c r="C269" s="367">
        <v>3811</v>
      </c>
      <c r="D269" s="368" t="s">
        <v>82</v>
      </c>
      <c r="E269" s="363">
        <v>50000</v>
      </c>
      <c r="F269" s="363">
        <v>20000</v>
      </c>
      <c r="G269" s="363">
        <f>F269/7.5345</f>
        <v>2654.4561682925209</v>
      </c>
      <c r="H269" s="363">
        <v>8000</v>
      </c>
      <c r="I269" s="363">
        <v>-3500</v>
      </c>
      <c r="J269" s="363">
        <f>SUM(H269+I269)</f>
        <v>4500</v>
      </c>
      <c r="K269" s="529">
        <f>J269*7.5345</f>
        <v>33905.25</v>
      </c>
      <c r="L269" s="384">
        <f t="shared" si="175"/>
        <v>56.25</v>
      </c>
    </row>
    <row r="270" spans="1:12" s="390" customFormat="1" ht="15" thickBot="1" x14ac:dyDescent="0.25">
      <c r="A270" s="355" t="s">
        <v>544</v>
      </c>
      <c r="B270" s="446"/>
      <c r="C270" s="367">
        <v>382</v>
      </c>
      <c r="D270" s="368" t="s">
        <v>38</v>
      </c>
      <c r="E270" s="363">
        <v>20000</v>
      </c>
      <c r="F270" s="363">
        <f t="shared" ref="F270:K270" si="176">SUM(F271)</f>
        <v>25000</v>
      </c>
      <c r="G270" s="363">
        <f t="shared" si="176"/>
        <v>3318.0702103656513</v>
      </c>
      <c r="H270" s="363">
        <f t="shared" si="176"/>
        <v>45000</v>
      </c>
      <c r="I270" s="363">
        <f t="shared" si="176"/>
        <v>6000</v>
      </c>
      <c r="J270" s="363">
        <f t="shared" si="176"/>
        <v>51000</v>
      </c>
      <c r="K270" s="529">
        <f t="shared" si="176"/>
        <v>384259.5</v>
      </c>
      <c r="L270" s="384">
        <f t="shared" si="175"/>
        <v>113.33333333333333</v>
      </c>
    </row>
    <row r="271" spans="1:12" s="97" customFormat="1" ht="17.25" thickTop="1" thickBot="1" x14ac:dyDescent="0.3">
      <c r="A271" s="355" t="s">
        <v>544</v>
      </c>
      <c r="B271" s="453"/>
      <c r="C271" s="399">
        <v>3821</v>
      </c>
      <c r="D271" s="370" t="s">
        <v>235</v>
      </c>
      <c r="E271" s="361">
        <v>20000</v>
      </c>
      <c r="F271" s="361">
        <v>25000</v>
      </c>
      <c r="G271" s="363">
        <f>F271/7.5345</f>
        <v>3318.0702103656513</v>
      </c>
      <c r="H271" s="363">
        <v>45000</v>
      </c>
      <c r="I271" s="363">
        <v>6000</v>
      </c>
      <c r="J271" s="363">
        <f>SUM(H271+I271)</f>
        <v>51000</v>
      </c>
      <c r="K271" s="529">
        <f>J271*7.5345</f>
        <v>384259.5</v>
      </c>
      <c r="L271" s="384">
        <f t="shared" si="175"/>
        <v>113.33333333333333</v>
      </c>
    </row>
    <row r="272" spans="1:12" s="28" customFormat="1" ht="18.75" thickBot="1" x14ac:dyDescent="0.25">
      <c r="A272" s="852" t="s">
        <v>580</v>
      </c>
      <c r="B272" s="853"/>
      <c r="C272" s="853"/>
      <c r="D272" s="854"/>
      <c r="E272" s="541">
        <f t="shared" ref="E272:H272" si="177">SUM(E275+E281)</f>
        <v>19000</v>
      </c>
      <c r="F272" s="541">
        <f t="shared" si="177"/>
        <v>28000</v>
      </c>
      <c r="G272" s="541">
        <f t="shared" si="177"/>
        <v>3716.2386356095294</v>
      </c>
      <c r="H272" s="541">
        <f t="shared" si="177"/>
        <v>4500</v>
      </c>
      <c r="I272" s="541">
        <f t="shared" ref="I272:K272" si="178">SUM(I275+I281)</f>
        <v>-1200</v>
      </c>
      <c r="J272" s="541">
        <f t="shared" si="178"/>
        <v>3300</v>
      </c>
      <c r="K272" s="546">
        <f t="shared" si="178"/>
        <v>24863.85</v>
      </c>
      <c r="L272" s="541">
        <f t="shared" si="175"/>
        <v>73.333333333333329</v>
      </c>
    </row>
    <row r="273" spans="1:12" ht="14.25" x14ac:dyDescent="0.2">
      <c r="A273" s="401"/>
      <c r="B273" s="40"/>
      <c r="C273" s="40"/>
      <c r="D273" s="396" t="s">
        <v>178</v>
      </c>
      <c r="E273" s="373"/>
      <c r="F273" s="372"/>
      <c r="G273" s="372"/>
      <c r="H273" s="372"/>
      <c r="I273" s="372"/>
      <c r="J273" s="372"/>
      <c r="K273" s="526"/>
      <c r="L273" s="862">
        <f>AVERAGE(J275/H275*100)</f>
        <v>100</v>
      </c>
    </row>
    <row r="274" spans="1:12" s="4" customFormat="1" ht="14.25" x14ac:dyDescent="0.2">
      <c r="A274" s="401"/>
      <c r="B274" s="40"/>
      <c r="C274" s="40"/>
      <c r="D274" s="395" t="s">
        <v>603</v>
      </c>
      <c r="E274" s="363"/>
      <c r="F274" s="372"/>
      <c r="G274" s="372"/>
      <c r="H274" s="372"/>
      <c r="I274" s="372"/>
      <c r="J274" s="372"/>
      <c r="K274" s="526"/>
      <c r="L274" s="844"/>
    </row>
    <row r="275" spans="1:12" s="440" customFormat="1" ht="15.75" x14ac:dyDescent="0.25">
      <c r="A275" s="425"/>
      <c r="B275" s="97"/>
      <c r="C275" s="97"/>
      <c r="D275" s="422" t="s">
        <v>432</v>
      </c>
      <c r="E275" s="426">
        <v>13000</v>
      </c>
      <c r="F275" s="424">
        <f t="shared" ref="F275:K277" si="179">SUM(F276)</f>
        <v>13000</v>
      </c>
      <c r="G275" s="424">
        <f t="shared" si="179"/>
        <v>1725.3965093901386</v>
      </c>
      <c r="H275" s="424">
        <f t="shared" si="179"/>
        <v>1500</v>
      </c>
      <c r="I275" s="424">
        <f t="shared" si="179"/>
        <v>0</v>
      </c>
      <c r="J275" s="424">
        <f t="shared" si="179"/>
        <v>1500</v>
      </c>
      <c r="K275" s="527">
        <f t="shared" si="179"/>
        <v>11301.75</v>
      </c>
      <c r="L275" s="845"/>
    </row>
    <row r="276" spans="1:12" ht="15" x14ac:dyDescent="0.25">
      <c r="A276" s="358" t="s">
        <v>457</v>
      </c>
      <c r="B276" s="364"/>
      <c r="C276" s="354">
        <v>38</v>
      </c>
      <c r="D276" s="365" t="s">
        <v>80</v>
      </c>
      <c r="E276" s="362">
        <v>13000</v>
      </c>
      <c r="F276" s="362">
        <f t="shared" si="179"/>
        <v>13000</v>
      </c>
      <c r="G276" s="362">
        <f t="shared" si="179"/>
        <v>1725.3965093901386</v>
      </c>
      <c r="H276" s="362">
        <f t="shared" si="179"/>
        <v>1500</v>
      </c>
      <c r="I276" s="362">
        <f t="shared" si="179"/>
        <v>0</v>
      </c>
      <c r="J276" s="362">
        <f t="shared" si="179"/>
        <v>1500</v>
      </c>
      <c r="K276" s="530">
        <f t="shared" si="179"/>
        <v>11301.75</v>
      </c>
      <c r="L276" s="727">
        <f>AVERAGE(J276/H276*100)</f>
        <v>100</v>
      </c>
    </row>
    <row r="277" spans="1:12" s="210" customFormat="1" ht="14.25" x14ac:dyDescent="0.2">
      <c r="A277" s="355" t="s">
        <v>457</v>
      </c>
      <c r="B277" s="446"/>
      <c r="C277" s="367">
        <v>381</v>
      </c>
      <c r="D277" s="368" t="s">
        <v>37</v>
      </c>
      <c r="E277" s="363">
        <v>13000</v>
      </c>
      <c r="F277" s="363">
        <f t="shared" si="179"/>
        <v>13000</v>
      </c>
      <c r="G277" s="363">
        <f t="shared" si="179"/>
        <v>1725.3965093901386</v>
      </c>
      <c r="H277" s="363">
        <f t="shared" si="179"/>
        <v>1500</v>
      </c>
      <c r="I277" s="363">
        <f t="shared" si="179"/>
        <v>0</v>
      </c>
      <c r="J277" s="363">
        <f t="shared" si="179"/>
        <v>1500</v>
      </c>
      <c r="K277" s="529">
        <f t="shared" si="179"/>
        <v>11301.75</v>
      </c>
      <c r="L277" s="384">
        <f t="shared" ref="L277:L278" si="180">AVERAGE(J277/H277*100)</f>
        <v>100</v>
      </c>
    </row>
    <row r="278" spans="1:12" s="97" customFormat="1" ht="16.5" thickBot="1" x14ac:dyDescent="0.3">
      <c r="A278" s="404" t="s">
        <v>457</v>
      </c>
      <c r="B278" s="448"/>
      <c r="C278" s="386">
        <v>3811</v>
      </c>
      <c r="D278" s="387" t="s">
        <v>399</v>
      </c>
      <c r="E278" s="388">
        <v>13000</v>
      </c>
      <c r="F278" s="388">
        <v>13000</v>
      </c>
      <c r="G278" s="388">
        <f>F278/7.5345</f>
        <v>1725.3965093901386</v>
      </c>
      <c r="H278" s="388">
        <v>1500</v>
      </c>
      <c r="I278" s="388">
        <v>0</v>
      </c>
      <c r="J278" s="388">
        <f>SUM(H278+I278)</f>
        <v>1500</v>
      </c>
      <c r="K278" s="531">
        <f>J278*7.5345</f>
        <v>11301.75</v>
      </c>
      <c r="L278" s="384">
        <f t="shared" si="180"/>
        <v>100</v>
      </c>
    </row>
    <row r="279" spans="1:12" s="28" customFormat="1" ht="15" thickTop="1" x14ac:dyDescent="0.2">
      <c r="A279" s="401"/>
      <c r="B279" s="451"/>
      <c r="C279" s="40"/>
      <c r="D279" s="396" t="s">
        <v>178</v>
      </c>
      <c r="E279" s="373"/>
      <c r="F279" s="372"/>
      <c r="G279" s="372"/>
      <c r="H279" s="372"/>
      <c r="I279" s="372"/>
      <c r="J279" s="372"/>
      <c r="K279" s="526"/>
      <c r="L279" s="856">
        <f>AVERAGE(J281/H281*100)</f>
        <v>60</v>
      </c>
    </row>
    <row r="280" spans="1:12" ht="14.25" x14ac:dyDescent="0.2">
      <c r="A280" s="401"/>
      <c r="B280" s="451"/>
      <c r="C280" s="40"/>
      <c r="D280" s="395" t="s">
        <v>603</v>
      </c>
      <c r="E280" s="363"/>
      <c r="F280" s="372"/>
      <c r="G280" s="372"/>
      <c r="H280" s="372"/>
      <c r="I280" s="372"/>
      <c r="J280" s="372"/>
      <c r="K280" s="526"/>
      <c r="L280" s="857"/>
    </row>
    <row r="281" spans="1:12" ht="15.75" x14ac:dyDescent="0.25">
      <c r="A281" s="425"/>
      <c r="B281" s="452"/>
      <c r="C281" s="97"/>
      <c r="D281" s="429" t="s">
        <v>434</v>
      </c>
      <c r="E281" s="426">
        <v>6000</v>
      </c>
      <c r="F281" s="424">
        <f t="shared" ref="F281:K283" si="181">SUM(F282)</f>
        <v>15000</v>
      </c>
      <c r="G281" s="424">
        <f t="shared" si="181"/>
        <v>1990.8421262193906</v>
      </c>
      <c r="H281" s="424">
        <f t="shared" si="181"/>
        <v>3000</v>
      </c>
      <c r="I281" s="424">
        <f t="shared" si="181"/>
        <v>-1200</v>
      </c>
      <c r="J281" s="424">
        <f t="shared" si="181"/>
        <v>1800</v>
      </c>
      <c r="K281" s="527">
        <f t="shared" si="181"/>
        <v>13562.1</v>
      </c>
      <c r="L281" s="858"/>
    </row>
    <row r="282" spans="1:12" ht="15" x14ac:dyDescent="0.25">
      <c r="A282" s="358" t="s">
        <v>458</v>
      </c>
      <c r="B282" s="447"/>
      <c r="C282" s="354">
        <v>38</v>
      </c>
      <c r="D282" s="365" t="s">
        <v>80</v>
      </c>
      <c r="E282" s="362">
        <v>6000</v>
      </c>
      <c r="F282" s="362">
        <f t="shared" si="181"/>
        <v>15000</v>
      </c>
      <c r="G282" s="362">
        <f t="shared" si="181"/>
        <v>1990.8421262193906</v>
      </c>
      <c r="H282" s="362">
        <f t="shared" si="181"/>
        <v>3000</v>
      </c>
      <c r="I282" s="362">
        <f t="shared" si="181"/>
        <v>-1200</v>
      </c>
      <c r="J282" s="362">
        <f t="shared" si="181"/>
        <v>1800</v>
      </c>
      <c r="K282" s="530">
        <f t="shared" si="181"/>
        <v>13562.1</v>
      </c>
      <c r="L282" s="384">
        <f>AVERAGE(J282/H282*100)</f>
        <v>60</v>
      </c>
    </row>
    <row r="283" spans="1:12" s="390" customFormat="1" ht="15" thickBot="1" x14ac:dyDescent="0.25">
      <c r="A283" s="355" t="s">
        <v>458</v>
      </c>
      <c r="B283" s="446"/>
      <c r="C283" s="367">
        <v>381</v>
      </c>
      <c r="D283" s="368" t="s">
        <v>37</v>
      </c>
      <c r="E283" s="363">
        <v>6000</v>
      </c>
      <c r="F283" s="363">
        <f t="shared" si="181"/>
        <v>15000</v>
      </c>
      <c r="G283" s="363">
        <f t="shared" si="181"/>
        <v>1990.8421262193906</v>
      </c>
      <c r="H283" s="363">
        <f t="shared" si="181"/>
        <v>3000</v>
      </c>
      <c r="I283" s="363">
        <f t="shared" si="181"/>
        <v>-1200</v>
      </c>
      <c r="J283" s="363">
        <f t="shared" si="181"/>
        <v>1800</v>
      </c>
      <c r="K283" s="529">
        <f t="shared" si="181"/>
        <v>13562.1</v>
      </c>
      <c r="L283" s="384">
        <f t="shared" ref="L283:L285" si="182">AVERAGE(J283/H283*100)</f>
        <v>60</v>
      </c>
    </row>
    <row r="284" spans="1:12" s="97" customFormat="1" ht="17.25" thickTop="1" thickBot="1" x14ac:dyDescent="0.3">
      <c r="A284" s="355" t="s">
        <v>458</v>
      </c>
      <c r="B284" s="453"/>
      <c r="C284" s="399">
        <v>3811</v>
      </c>
      <c r="D284" s="370" t="s">
        <v>228</v>
      </c>
      <c r="E284" s="361">
        <v>6000</v>
      </c>
      <c r="F284" s="361">
        <v>15000</v>
      </c>
      <c r="G284" s="363">
        <f>F284/7.5345</f>
        <v>1990.8421262193906</v>
      </c>
      <c r="H284" s="363">
        <v>3000</v>
      </c>
      <c r="I284" s="363">
        <v>-1200</v>
      </c>
      <c r="J284" s="363">
        <f>SUM(H284+I284)</f>
        <v>1800</v>
      </c>
      <c r="K284" s="529">
        <f>J284*7.5345</f>
        <v>13562.1</v>
      </c>
      <c r="L284" s="384">
        <f t="shared" si="182"/>
        <v>60</v>
      </c>
    </row>
    <row r="285" spans="1:12" s="28" customFormat="1" ht="18.75" thickBot="1" x14ac:dyDescent="0.25">
      <c r="A285" s="852" t="s">
        <v>581</v>
      </c>
      <c r="B285" s="853"/>
      <c r="C285" s="853"/>
      <c r="D285" s="854"/>
      <c r="E285" s="541">
        <v>40000</v>
      </c>
      <c r="F285" s="541">
        <f t="shared" ref="F285:H285" si="183">SUM(F288+F294)</f>
        <v>240000</v>
      </c>
      <c r="G285" s="541">
        <f t="shared" si="183"/>
        <v>31853.474019510253</v>
      </c>
      <c r="H285" s="541">
        <f t="shared" si="183"/>
        <v>38700</v>
      </c>
      <c r="I285" s="541">
        <f t="shared" ref="I285:K285" si="184">SUM(I288+I294)</f>
        <v>6800</v>
      </c>
      <c r="J285" s="541">
        <f t="shared" si="184"/>
        <v>45500</v>
      </c>
      <c r="K285" s="546">
        <f t="shared" si="184"/>
        <v>342819.75</v>
      </c>
      <c r="L285" s="541">
        <f t="shared" si="182"/>
        <v>117.57105943152455</v>
      </c>
    </row>
    <row r="286" spans="1:12" ht="14.25" x14ac:dyDescent="0.2">
      <c r="A286" s="401"/>
      <c r="B286" s="40"/>
      <c r="C286" s="40"/>
      <c r="D286" s="396" t="s">
        <v>240</v>
      </c>
      <c r="E286" s="373"/>
      <c r="F286" s="372"/>
      <c r="G286" s="372"/>
      <c r="H286" s="372"/>
      <c r="I286" s="372"/>
      <c r="J286" s="372"/>
      <c r="K286" s="526"/>
      <c r="L286" s="862">
        <f>AVERAGE(J288/H288*100)</f>
        <v>129.08011869436203</v>
      </c>
    </row>
    <row r="287" spans="1:12" ht="14.25" x14ac:dyDescent="0.2">
      <c r="A287" s="401"/>
      <c r="B287" s="40"/>
      <c r="C287" s="40"/>
      <c r="D287" s="395" t="s">
        <v>610</v>
      </c>
      <c r="E287" s="363"/>
      <c r="F287" s="372"/>
      <c r="G287" s="372"/>
      <c r="H287" s="372"/>
      <c r="I287" s="372"/>
      <c r="J287" s="372"/>
      <c r="K287" s="526"/>
      <c r="L287" s="844"/>
    </row>
    <row r="288" spans="1:12" s="28" customFormat="1" ht="15.75" x14ac:dyDescent="0.25">
      <c r="A288" s="425"/>
      <c r="B288" s="452"/>
      <c r="C288" s="97"/>
      <c r="D288" s="429" t="s">
        <v>435</v>
      </c>
      <c r="E288" s="426">
        <v>40000</v>
      </c>
      <c r="F288" s="424">
        <f t="shared" ref="F288:K290" si="185">SUM(F289)</f>
        <v>140000</v>
      </c>
      <c r="G288" s="424">
        <f t="shared" si="185"/>
        <v>18581.193178047648</v>
      </c>
      <c r="H288" s="424">
        <f t="shared" si="185"/>
        <v>33700</v>
      </c>
      <c r="I288" s="424">
        <f t="shared" si="185"/>
        <v>9800</v>
      </c>
      <c r="J288" s="424">
        <f t="shared" si="185"/>
        <v>43500</v>
      </c>
      <c r="K288" s="527">
        <f t="shared" si="185"/>
        <v>327750.75</v>
      </c>
      <c r="L288" s="845"/>
    </row>
    <row r="289" spans="1:12" ht="15" x14ac:dyDescent="0.25">
      <c r="A289" s="358" t="s">
        <v>648</v>
      </c>
      <c r="B289" s="447"/>
      <c r="C289" s="354">
        <v>32</v>
      </c>
      <c r="D289" s="365" t="s">
        <v>180</v>
      </c>
      <c r="E289" s="362">
        <v>40000</v>
      </c>
      <c r="F289" s="362">
        <f t="shared" si="185"/>
        <v>140000</v>
      </c>
      <c r="G289" s="362">
        <f t="shared" si="185"/>
        <v>18581.193178047648</v>
      </c>
      <c r="H289" s="362">
        <f t="shared" si="185"/>
        <v>33700</v>
      </c>
      <c r="I289" s="362">
        <f t="shared" si="185"/>
        <v>9800</v>
      </c>
      <c r="J289" s="362">
        <f t="shared" si="185"/>
        <v>43500</v>
      </c>
      <c r="K289" s="530">
        <f t="shared" si="185"/>
        <v>327750.75</v>
      </c>
      <c r="L289" s="727">
        <f>AVERAGE(J289/H289*100)</f>
        <v>129.08011869436203</v>
      </c>
    </row>
    <row r="290" spans="1:12" ht="14.45" customHeight="1" x14ac:dyDescent="0.2">
      <c r="A290" s="355" t="s">
        <v>648</v>
      </c>
      <c r="B290" s="446"/>
      <c r="C290" s="367">
        <v>323</v>
      </c>
      <c r="D290" s="368" t="s">
        <v>56</v>
      </c>
      <c r="E290" s="363">
        <v>40000</v>
      </c>
      <c r="F290" s="363">
        <f t="shared" si="185"/>
        <v>140000</v>
      </c>
      <c r="G290" s="363">
        <f t="shared" si="185"/>
        <v>18581.193178047648</v>
      </c>
      <c r="H290" s="363">
        <f t="shared" si="185"/>
        <v>33700</v>
      </c>
      <c r="I290" s="363">
        <f t="shared" si="185"/>
        <v>9800</v>
      </c>
      <c r="J290" s="363">
        <f t="shared" si="185"/>
        <v>43500</v>
      </c>
      <c r="K290" s="529">
        <f t="shared" si="185"/>
        <v>327750.75</v>
      </c>
      <c r="L290" s="384">
        <f t="shared" ref="L290:L291" si="186">AVERAGE(J290/H290*100)</f>
        <v>129.08011869436203</v>
      </c>
    </row>
    <row r="291" spans="1:12" s="416" customFormat="1" ht="18" customHeight="1" thickBot="1" x14ac:dyDescent="0.3">
      <c r="A291" s="404" t="s">
        <v>648</v>
      </c>
      <c r="B291" s="448"/>
      <c r="C291" s="386">
        <v>3234</v>
      </c>
      <c r="D291" s="387" t="s">
        <v>60</v>
      </c>
      <c r="E291" s="388">
        <v>40000</v>
      </c>
      <c r="F291" s="388">
        <v>140000</v>
      </c>
      <c r="G291" s="388">
        <f>F291/7.5345</f>
        <v>18581.193178047648</v>
      </c>
      <c r="H291" s="388">
        <v>33700</v>
      </c>
      <c r="I291" s="388">
        <v>9800</v>
      </c>
      <c r="J291" s="388">
        <f>SUM(H291+I291)</f>
        <v>43500</v>
      </c>
      <c r="K291" s="531">
        <f>J291*7.5345</f>
        <v>327750.75</v>
      </c>
      <c r="L291" s="384">
        <f t="shared" si="186"/>
        <v>129.08011869436203</v>
      </c>
    </row>
    <row r="292" spans="1:12" ht="15" customHeight="1" thickTop="1" x14ac:dyDescent="0.2">
      <c r="A292" s="401"/>
      <c r="B292" s="451"/>
      <c r="C292" s="40"/>
      <c r="D292" s="396" t="s">
        <v>240</v>
      </c>
      <c r="E292" s="373"/>
      <c r="F292" s="372"/>
      <c r="G292" s="372"/>
      <c r="H292" s="372"/>
      <c r="I292" s="372"/>
      <c r="J292" s="372"/>
      <c r="K292" s="526"/>
      <c r="L292" s="856">
        <f>AVERAGE(J294/H294*100)</f>
        <v>40</v>
      </c>
    </row>
    <row r="293" spans="1:12" s="210" customFormat="1" ht="14.25" x14ac:dyDescent="0.2">
      <c r="A293" s="401"/>
      <c r="B293" s="451"/>
      <c r="C293" s="40"/>
      <c r="D293" s="395" t="s">
        <v>610</v>
      </c>
      <c r="E293" s="363"/>
      <c r="F293" s="372"/>
      <c r="G293" s="372"/>
      <c r="H293" s="372"/>
      <c r="I293" s="372"/>
      <c r="J293" s="372"/>
      <c r="K293" s="526"/>
      <c r="L293" s="857"/>
    </row>
    <row r="294" spans="1:12" s="97" customFormat="1" ht="31.5" x14ac:dyDescent="0.25">
      <c r="A294" s="425"/>
      <c r="B294" s="452"/>
      <c r="D294" s="429" t="s">
        <v>467</v>
      </c>
      <c r="E294" s="426">
        <v>0</v>
      </c>
      <c r="F294" s="424">
        <f t="shared" ref="F294:K294" si="187">SUM(F295)</f>
        <v>100000</v>
      </c>
      <c r="G294" s="424">
        <f t="shared" si="187"/>
        <v>13272.280841462605</v>
      </c>
      <c r="H294" s="599">
        <f t="shared" si="187"/>
        <v>5000</v>
      </c>
      <c r="I294" s="599">
        <f t="shared" si="187"/>
        <v>-3000</v>
      </c>
      <c r="J294" s="599">
        <f t="shared" si="187"/>
        <v>2000</v>
      </c>
      <c r="K294" s="527">
        <f t="shared" si="187"/>
        <v>15069</v>
      </c>
      <c r="L294" s="858"/>
    </row>
    <row r="295" spans="1:12" s="28" customFormat="1" ht="15" x14ac:dyDescent="0.25">
      <c r="A295" s="358" t="s">
        <v>649</v>
      </c>
      <c r="B295" s="447"/>
      <c r="C295" s="354">
        <v>32</v>
      </c>
      <c r="D295" s="365" t="s">
        <v>180</v>
      </c>
      <c r="E295" s="362">
        <v>0</v>
      </c>
      <c r="F295" s="362">
        <f t="shared" ref="F295:K295" si="188">SUM(F296)</f>
        <v>100000</v>
      </c>
      <c r="G295" s="362">
        <f t="shared" si="188"/>
        <v>13272.280841462605</v>
      </c>
      <c r="H295" s="362">
        <f t="shared" si="188"/>
        <v>5000</v>
      </c>
      <c r="I295" s="362">
        <f t="shared" si="188"/>
        <v>-3000</v>
      </c>
      <c r="J295" s="362">
        <f t="shared" si="188"/>
        <v>2000</v>
      </c>
      <c r="K295" s="530">
        <f t="shared" si="188"/>
        <v>15069</v>
      </c>
      <c r="L295" s="384">
        <f>AVERAGE(J295/H295*100)</f>
        <v>40</v>
      </c>
    </row>
    <row r="296" spans="1:12" ht="14.25" x14ac:dyDescent="0.2">
      <c r="A296" s="355" t="s">
        <v>649</v>
      </c>
      <c r="B296" s="446"/>
      <c r="C296" s="367">
        <v>322</v>
      </c>
      <c r="D296" s="368" t="s">
        <v>52</v>
      </c>
      <c r="E296" s="363">
        <v>0</v>
      </c>
      <c r="F296" s="363">
        <f t="shared" ref="F296:K296" si="189">SUM(F297)</f>
        <v>100000</v>
      </c>
      <c r="G296" s="363">
        <f t="shared" si="189"/>
        <v>13272.280841462605</v>
      </c>
      <c r="H296" s="363">
        <f t="shared" si="189"/>
        <v>5000</v>
      </c>
      <c r="I296" s="363">
        <f t="shared" si="189"/>
        <v>-3000</v>
      </c>
      <c r="J296" s="363">
        <f t="shared" si="189"/>
        <v>2000</v>
      </c>
      <c r="K296" s="529">
        <f t="shared" si="189"/>
        <v>15069</v>
      </c>
      <c r="L296" s="384">
        <f t="shared" ref="L296:L297" si="190">AVERAGE(J296/H296*100)</f>
        <v>40</v>
      </c>
    </row>
    <row r="297" spans="1:12" ht="15" thickBot="1" x14ac:dyDescent="0.25">
      <c r="A297" s="355" t="s">
        <v>649</v>
      </c>
      <c r="B297" s="446"/>
      <c r="C297" s="367">
        <v>3225</v>
      </c>
      <c r="D297" s="368" t="s">
        <v>190</v>
      </c>
      <c r="E297" s="363">
        <v>0</v>
      </c>
      <c r="F297" s="363">
        <v>100000</v>
      </c>
      <c r="G297" s="363">
        <f>F297/7.5345</f>
        <v>13272.280841462605</v>
      </c>
      <c r="H297" s="363">
        <v>5000</v>
      </c>
      <c r="I297" s="363">
        <v>-3000</v>
      </c>
      <c r="J297" s="363">
        <f>SUM(H297+I297)</f>
        <v>2000</v>
      </c>
      <c r="K297" s="529">
        <f>J297*7.5345</f>
        <v>15069</v>
      </c>
      <c r="L297" s="384">
        <f t="shared" si="190"/>
        <v>40</v>
      </c>
    </row>
    <row r="298" spans="1:12" s="390" customFormat="1" ht="18.75" thickBot="1" x14ac:dyDescent="0.25">
      <c r="A298" s="852" t="s">
        <v>582</v>
      </c>
      <c r="B298" s="853"/>
      <c r="C298" s="853"/>
      <c r="D298" s="854"/>
      <c r="E298" s="541">
        <f>SUM(E301+E309+E319+E325+E331+E337+E343+E349)</f>
        <v>1830000</v>
      </c>
      <c r="F298" s="541" t="e">
        <f>SUM(F301+F309+F319+#REF!+#REF!+F325+F331+F337+F343+F349+F355+#REF!+F363+F373+F380)</f>
        <v>#REF!</v>
      </c>
      <c r="G298" s="541" t="e">
        <f>SUM(G301+G309+G319+#REF!+#REF!+G325+G331+G337+G343+G349+G355+#REF!+G363+G373+G380)</f>
        <v>#REF!</v>
      </c>
      <c r="H298" s="541">
        <f>SUM(H301+H309+H319+H325+H331+H337+H343+H349+H355+H363+H373+H380)</f>
        <v>318400</v>
      </c>
      <c r="I298" s="541">
        <f>SUM(I301+I309+I319+I325+I331+I337+I343+I349+I355+I363+I373+I380)</f>
        <v>31300</v>
      </c>
      <c r="J298" s="541">
        <f>SUM(J301+J309+J319+J325+J331+J337+J343+J349+J355+J363+J373+J380)</f>
        <v>349700</v>
      </c>
      <c r="K298" s="546" t="e">
        <f>SUM(K301+K309+K319+#REF!+#REF!+K325+K331+K337+K343+K349+K355+#REF!+K363+K373+K380)</f>
        <v>#REF!</v>
      </c>
      <c r="L298" s="541">
        <f>AVERAGE(J298/H298*100)</f>
        <v>109.83040201005025</v>
      </c>
    </row>
    <row r="299" spans="1:12" s="97" customFormat="1" ht="29.25" x14ac:dyDescent="0.25">
      <c r="A299" s="401"/>
      <c r="B299" s="40"/>
      <c r="C299" s="40"/>
      <c r="D299" s="396" t="s">
        <v>406</v>
      </c>
      <c r="E299" s="373"/>
      <c r="F299" s="372"/>
      <c r="G299" s="372"/>
      <c r="H299" s="372"/>
      <c r="I299" s="372"/>
      <c r="J299" s="372"/>
      <c r="K299" s="526"/>
      <c r="L299" s="862">
        <f>AVERAGE(J301/H301*100)</f>
        <v>114.16666666666666</v>
      </c>
    </row>
    <row r="300" spans="1:12" s="28" customFormat="1" ht="14.25" x14ac:dyDescent="0.2">
      <c r="A300" s="401"/>
      <c r="B300" s="40"/>
      <c r="C300" s="40"/>
      <c r="D300" s="395" t="s">
        <v>603</v>
      </c>
      <c r="E300" s="363"/>
      <c r="F300" s="372"/>
      <c r="G300" s="372"/>
      <c r="H300" s="372"/>
      <c r="I300" s="372"/>
      <c r="J300" s="372"/>
      <c r="K300" s="526"/>
      <c r="L300" s="844"/>
    </row>
    <row r="301" spans="1:12" ht="31.5" x14ac:dyDescent="0.25">
      <c r="A301" s="425"/>
      <c r="B301" s="97"/>
      <c r="C301" s="97"/>
      <c r="D301" s="429" t="s">
        <v>436</v>
      </c>
      <c r="E301" s="426">
        <v>390000</v>
      </c>
      <c r="F301" s="424">
        <f t="shared" ref="F301:K301" si="191">SUM(F302)</f>
        <v>170000</v>
      </c>
      <c r="G301" s="424">
        <f t="shared" si="191"/>
        <v>22562.877430486427</v>
      </c>
      <c r="H301" s="424">
        <f t="shared" si="191"/>
        <v>24000</v>
      </c>
      <c r="I301" s="424">
        <f t="shared" si="191"/>
        <v>3400</v>
      </c>
      <c r="J301" s="424">
        <f t="shared" si="191"/>
        <v>27400</v>
      </c>
      <c r="K301" s="527">
        <f t="shared" si="191"/>
        <v>206445.3</v>
      </c>
      <c r="L301" s="845"/>
    </row>
    <row r="302" spans="1:12" ht="15" x14ac:dyDescent="0.25">
      <c r="A302" s="358" t="s">
        <v>650</v>
      </c>
      <c r="B302" s="447"/>
      <c r="C302" s="354">
        <v>32</v>
      </c>
      <c r="D302" s="365" t="s">
        <v>180</v>
      </c>
      <c r="E302" s="362">
        <v>390000</v>
      </c>
      <c r="F302" s="362">
        <f t="shared" ref="F302:J302" si="192">SUM(F303+F305)</f>
        <v>170000</v>
      </c>
      <c r="G302" s="362">
        <f t="shared" si="192"/>
        <v>22562.877430486427</v>
      </c>
      <c r="H302" s="362">
        <f t="shared" si="192"/>
        <v>24000</v>
      </c>
      <c r="I302" s="362">
        <f t="shared" si="192"/>
        <v>3400</v>
      </c>
      <c r="J302" s="362">
        <f t="shared" si="192"/>
        <v>27400</v>
      </c>
      <c r="K302" s="530">
        <f t="shared" ref="K302" si="193">SUM(K303+K305)</f>
        <v>206445.3</v>
      </c>
      <c r="L302" s="727">
        <f>AVERAGE(J302/H302*100)</f>
        <v>114.16666666666666</v>
      </c>
    </row>
    <row r="303" spans="1:12" ht="14.25" x14ac:dyDescent="0.2">
      <c r="A303" s="355" t="s">
        <v>650</v>
      </c>
      <c r="B303" s="446"/>
      <c r="C303" s="367">
        <v>322</v>
      </c>
      <c r="D303" s="368" t="s">
        <v>52</v>
      </c>
      <c r="E303" s="363">
        <v>250000</v>
      </c>
      <c r="F303" s="363">
        <f t="shared" ref="F303:K303" si="194">SUM(F304)</f>
        <v>120000</v>
      </c>
      <c r="G303" s="363">
        <f t="shared" si="194"/>
        <v>15926.737009755125</v>
      </c>
      <c r="H303" s="363">
        <f t="shared" si="194"/>
        <v>16000</v>
      </c>
      <c r="I303" s="363">
        <f t="shared" si="194"/>
        <v>5000</v>
      </c>
      <c r="J303" s="363">
        <f t="shared" si="194"/>
        <v>21000</v>
      </c>
      <c r="K303" s="529">
        <f t="shared" si="194"/>
        <v>158224.5</v>
      </c>
      <c r="L303" s="384">
        <f t="shared" ref="L303:L306" si="195">AVERAGE(J303/H303*100)</f>
        <v>131.25</v>
      </c>
    </row>
    <row r="304" spans="1:12" s="28" customFormat="1" ht="14.25" x14ac:dyDescent="0.2">
      <c r="A304" s="355" t="s">
        <v>650</v>
      </c>
      <c r="B304" s="446"/>
      <c r="C304" s="367">
        <v>3223</v>
      </c>
      <c r="D304" s="368" t="s">
        <v>54</v>
      </c>
      <c r="E304" s="363">
        <v>250000</v>
      </c>
      <c r="F304" s="363">
        <v>120000</v>
      </c>
      <c r="G304" s="363">
        <f>F304/7.5345</f>
        <v>15926.737009755125</v>
      </c>
      <c r="H304" s="363">
        <v>16000</v>
      </c>
      <c r="I304" s="363">
        <v>5000</v>
      </c>
      <c r="J304" s="363">
        <f>SUM(H304+I304)</f>
        <v>21000</v>
      </c>
      <c r="K304" s="529">
        <f>J304*7.5345</f>
        <v>158224.5</v>
      </c>
      <c r="L304" s="384">
        <f t="shared" si="195"/>
        <v>131.25</v>
      </c>
    </row>
    <row r="305" spans="1:12" s="390" customFormat="1" ht="15" thickBot="1" x14ac:dyDescent="0.25">
      <c r="A305" s="355" t="s">
        <v>650</v>
      </c>
      <c r="B305" s="446"/>
      <c r="C305" s="367">
        <v>323</v>
      </c>
      <c r="D305" s="368" t="s">
        <v>56</v>
      </c>
      <c r="E305" s="363">
        <v>140000</v>
      </c>
      <c r="F305" s="363">
        <f t="shared" ref="F305:K305" si="196">SUM(F306)</f>
        <v>50000</v>
      </c>
      <c r="G305" s="363">
        <f t="shared" si="196"/>
        <v>6636.1404207313026</v>
      </c>
      <c r="H305" s="363">
        <f t="shared" si="196"/>
        <v>8000</v>
      </c>
      <c r="I305" s="363">
        <f t="shared" si="196"/>
        <v>-1600</v>
      </c>
      <c r="J305" s="363">
        <f t="shared" si="196"/>
        <v>6400</v>
      </c>
      <c r="K305" s="529">
        <f t="shared" si="196"/>
        <v>48220.800000000003</v>
      </c>
      <c r="L305" s="384">
        <f t="shared" si="195"/>
        <v>80</v>
      </c>
    </row>
    <row r="306" spans="1:12" ht="15.75" thickTop="1" thickBot="1" x14ac:dyDescent="0.25">
      <c r="A306" s="404" t="s">
        <v>650</v>
      </c>
      <c r="B306" s="448"/>
      <c r="C306" s="386">
        <v>3232</v>
      </c>
      <c r="D306" s="387" t="s">
        <v>242</v>
      </c>
      <c r="E306" s="388">
        <v>140000</v>
      </c>
      <c r="F306" s="388">
        <v>50000</v>
      </c>
      <c r="G306" s="388">
        <f>F306/7.5345</f>
        <v>6636.1404207313026</v>
      </c>
      <c r="H306" s="388">
        <v>8000</v>
      </c>
      <c r="I306" s="388">
        <v>-1600</v>
      </c>
      <c r="J306" s="388">
        <f>SUM(H306+I306)</f>
        <v>6400</v>
      </c>
      <c r="K306" s="531">
        <f>J306*7.5345</f>
        <v>48220.800000000003</v>
      </c>
      <c r="L306" s="384">
        <f t="shared" si="195"/>
        <v>80</v>
      </c>
    </row>
    <row r="307" spans="1:12" ht="29.25" thickTop="1" x14ac:dyDescent="0.2">
      <c r="A307" s="401"/>
      <c r="B307" s="451"/>
      <c r="C307" s="40"/>
      <c r="D307" s="396" t="s">
        <v>406</v>
      </c>
      <c r="E307" s="373"/>
      <c r="F307" s="372"/>
      <c r="G307" s="372"/>
      <c r="H307" s="372" t="s">
        <v>564</v>
      </c>
      <c r="I307" s="372"/>
      <c r="J307" s="372"/>
      <c r="K307" s="526"/>
      <c r="L307" s="843">
        <f>AVERAGE(J309/H309*100)</f>
        <v>35.416666666666671</v>
      </c>
    </row>
    <row r="308" spans="1:12" ht="14.25" x14ac:dyDescent="0.2">
      <c r="A308" s="401"/>
      <c r="B308" s="451"/>
      <c r="C308" s="40"/>
      <c r="D308" s="395" t="s">
        <v>615</v>
      </c>
      <c r="E308" s="363"/>
      <c r="F308" s="372"/>
      <c r="G308" s="372"/>
      <c r="H308" s="372"/>
      <c r="I308" s="372"/>
      <c r="J308" s="372"/>
      <c r="K308" s="526"/>
      <c r="L308" s="844"/>
    </row>
    <row r="309" spans="1:12" s="97" customFormat="1" ht="31.5" x14ac:dyDescent="0.25">
      <c r="A309" s="425"/>
      <c r="B309" s="452"/>
      <c r="D309" s="429" t="s">
        <v>566</v>
      </c>
      <c r="E309" s="426">
        <v>30000</v>
      </c>
      <c r="F309" s="424">
        <f t="shared" ref="F309:J309" si="197">SUM(F310+F314)</f>
        <v>45000</v>
      </c>
      <c r="G309" s="424">
        <f t="shared" si="197"/>
        <v>5972.5263786581727</v>
      </c>
      <c r="H309" s="424">
        <f t="shared" si="197"/>
        <v>12000</v>
      </c>
      <c r="I309" s="424">
        <f t="shared" si="197"/>
        <v>-7750</v>
      </c>
      <c r="J309" s="424">
        <f t="shared" si="197"/>
        <v>4250</v>
      </c>
      <c r="K309" s="527">
        <f t="shared" ref="K309" si="198">SUM(K310+K314)</f>
        <v>32021.625</v>
      </c>
      <c r="L309" s="845"/>
    </row>
    <row r="310" spans="1:12" s="28" customFormat="1" ht="15" x14ac:dyDescent="0.25">
      <c r="A310" s="358" t="s">
        <v>459</v>
      </c>
      <c r="B310" s="447"/>
      <c r="C310" s="354">
        <v>32</v>
      </c>
      <c r="D310" s="365" t="s">
        <v>180</v>
      </c>
      <c r="E310" s="362">
        <v>30000</v>
      </c>
      <c r="F310" s="362">
        <f t="shared" ref="F310:K310" si="199">SUM(F311)</f>
        <v>45000</v>
      </c>
      <c r="G310" s="362">
        <f t="shared" si="199"/>
        <v>5972.5263786581727</v>
      </c>
      <c r="H310" s="362">
        <f t="shared" si="199"/>
        <v>12000</v>
      </c>
      <c r="I310" s="362">
        <f t="shared" si="199"/>
        <v>-7750</v>
      </c>
      <c r="J310" s="362">
        <f t="shared" si="199"/>
        <v>4250</v>
      </c>
      <c r="K310" s="530">
        <f t="shared" si="199"/>
        <v>32021.625</v>
      </c>
      <c r="L310" s="727">
        <f>AVERAGE(J310/H310*100)</f>
        <v>35.416666666666671</v>
      </c>
    </row>
    <row r="311" spans="1:12" ht="14.25" x14ac:dyDescent="0.2">
      <c r="A311" s="355" t="s">
        <v>459</v>
      </c>
      <c r="B311" s="446"/>
      <c r="C311" s="367">
        <v>323</v>
      </c>
      <c r="D311" s="368" t="s">
        <v>56</v>
      </c>
      <c r="E311" s="363">
        <v>30000</v>
      </c>
      <c r="F311" s="363">
        <f t="shared" ref="F311:J311" si="200">SUM(F312:F313)</f>
        <v>45000</v>
      </c>
      <c r="G311" s="363">
        <f t="shared" si="200"/>
        <v>5972.5263786581727</v>
      </c>
      <c r="H311" s="363">
        <f t="shared" si="200"/>
        <v>12000</v>
      </c>
      <c r="I311" s="363">
        <f t="shared" si="200"/>
        <v>-7750</v>
      </c>
      <c r="J311" s="363">
        <f t="shared" si="200"/>
        <v>4250</v>
      </c>
      <c r="K311" s="529">
        <f t="shared" ref="K311" si="201">SUM(K312:K313)</f>
        <v>32021.625</v>
      </c>
      <c r="L311" s="384">
        <f t="shared" ref="L311:L313" si="202">AVERAGE(J311/H311*100)</f>
        <v>35.416666666666671</v>
      </c>
    </row>
    <row r="312" spans="1:12" ht="14.25" x14ac:dyDescent="0.2">
      <c r="A312" s="355" t="s">
        <v>459</v>
      </c>
      <c r="B312" s="446"/>
      <c r="C312" s="367">
        <v>3234</v>
      </c>
      <c r="D312" s="368" t="s">
        <v>408</v>
      </c>
      <c r="E312" s="363"/>
      <c r="F312" s="363">
        <v>25000</v>
      </c>
      <c r="G312" s="363">
        <f>F312/7.5345</f>
        <v>3318.0702103656513</v>
      </c>
      <c r="H312" s="363">
        <v>7000</v>
      </c>
      <c r="I312" s="363">
        <v>-3500</v>
      </c>
      <c r="J312" s="363">
        <f>SUM(H312+I312)</f>
        <v>3500</v>
      </c>
      <c r="K312" s="529">
        <f>J312*7.5345</f>
        <v>26370.75</v>
      </c>
      <c r="L312" s="384">
        <f t="shared" si="202"/>
        <v>50</v>
      </c>
    </row>
    <row r="313" spans="1:12" ht="15" thickBot="1" x14ac:dyDescent="0.25">
      <c r="A313" s="404" t="s">
        <v>458</v>
      </c>
      <c r="B313" s="448"/>
      <c r="C313" s="386">
        <v>3232</v>
      </c>
      <c r="D313" s="387" t="s">
        <v>242</v>
      </c>
      <c r="E313" s="388">
        <v>30000</v>
      </c>
      <c r="F313" s="388">
        <v>20000</v>
      </c>
      <c r="G313" s="388">
        <f>F313/7.5345</f>
        <v>2654.4561682925209</v>
      </c>
      <c r="H313" s="388">
        <v>5000</v>
      </c>
      <c r="I313" s="388">
        <v>-4250</v>
      </c>
      <c r="J313" s="363">
        <f>SUM(H313+I313)</f>
        <v>750</v>
      </c>
      <c r="K313" s="531">
        <f>J313*7.5345</f>
        <v>5650.875</v>
      </c>
      <c r="L313" s="384">
        <f t="shared" si="202"/>
        <v>15</v>
      </c>
    </row>
    <row r="314" spans="1:12" s="390" customFormat="1" ht="16.5" thickTop="1" thickBot="1" x14ac:dyDescent="0.3">
      <c r="A314" s="439" t="s">
        <v>459</v>
      </c>
      <c r="B314" s="445"/>
      <c r="C314" s="391">
        <v>42</v>
      </c>
      <c r="D314" s="369" t="s">
        <v>250</v>
      </c>
      <c r="E314" s="381">
        <v>66500</v>
      </c>
      <c r="F314" s="528">
        <f t="shared" ref="F314:K315" si="203">SUM(F315)</f>
        <v>0</v>
      </c>
      <c r="G314" s="528">
        <f t="shared" si="203"/>
        <v>0</v>
      </c>
      <c r="H314" s="381">
        <f t="shared" si="203"/>
        <v>0</v>
      </c>
      <c r="I314" s="381">
        <f t="shared" si="203"/>
        <v>0</v>
      </c>
      <c r="J314" s="381">
        <f t="shared" si="203"/>
        <v>0</v>
      </c>
      <c r="K314" s="528">
        <f t="shared" si="203"/>
        <v>0</v>
      </c>
      <c r="L314" s="384" t="e">
        <f>AVERAGE(I314/H314*100)</f>
        <v>#DIV/0!</v>
      </c>
    </row>
    <row r="315" spans="1:12" s="97" customFormat="1" ht="16.5" thickTop="1" x14ac:dyDescent="0.25">
      <c r="A315" s="355" t="s">
        <v>459</v>
      </c>
      <c r="B315" s="446"/>
      <c r="C315" s="367">
        <v>421</v>
      </c>
      <c r="D315" s="368" t="s">
        <v>97</v>
      </c>
      <c r="E315" s="363">
        <v>66500</v>
      </c>
      <c r="F315" s="529">
        <f t="shared" si="203"/>
        <v>0</v>
      </c>
      <c r="G315" s="529">
        <f t="shared" si="203"/>
        <v>0</v>
      </c>
      <c r="H315" s="363">
        <f t="shared" si="203"/>
        <v>0</v>
      </c>
      <c r="I315" s="363">
        <f t="shared" si="203"/>
        <v>0</v>
      </c>
      <c r="J315" s="363">
        <f t="shared" si="203"/>
        <v>0</v>
      </c>
      <c r="K315" s="529">
        <f t="shared" si="203"/>
        <v>0</v>
      </c>
      <c r="L315" s="384" t="e">
        <f>AVERAGE(I315/H315*100)</f>
        <v>#DIV/0!</v>
      </c>
    </row>
    <row r="316" spans="1:12" s="28" customFormat="1" ht="15" thickBot="1" x14ac:dyDescent="0.25">
      <c r="A316" s="404" t="s">
        <v>459</v>
      </c>
      <c r="B316" s="448"/>
      <c r="C316" s="386">
        <v>4214</v>
      </c>
      <c r="D316" s="387" t="s">
        <v>411</v>
      </c>
      <c r="E316" s="388">
        <v>66500</v>
      </c>
      <c r="F316" s="531">
        <v>0</v>
      </c>
      <c r="G316" s="531">
        <v>0</v>
      </c>
      <c r="H316" s="388">
        <v>0</v>
      </c>
      <c r="I316" s="388">
        <v>0</v>
      </c>
      <c r="J316" s="388">
        <v>0</v>
      </c>
      <c r="K316" s="531">
        <v>0</v>
      </c>
      <c r="L316" s="384" t="e">
        <f>AVERAGE(I316/H316*100)</f>
        <v>#DIV/0!</v>
      </c>
    </row>
    <row r="317" spans="1:12" ht="29.25" thickTop="1" x14ac:dyDescent="0.2">
      <c r="A317" s="401"/>
      <c r="B317" s="451"/>
      <c r="C317" s="40"/>
      <c r="D317" s="396" t="s">
        <v>406</v>
      </c>
      <c r="E317" s="373"/>
      <c r="F317" s="372"/>
      <c r="G317" s="372"/>
      <c r="H317" s="372"/>
      <c r="I317" s="372"/>
      <c r="J317" s="372"/>
      <c r="K317" s="526"/>
      <c r="L317" s="855">
        <f>AVERAGE(J319/H319*100)</f>
        <v>103.63636363636364</v>
      </c>
    </row>
    <row r="318" spans="1:12" ht="14.25" x14ac:dyDescent="0.2">
      <c r="A318" s="401"/>
      <c r="B318" s="451"/>
      <c r="C318" s="40"/>
      <c r="D318" s="395" t="s">
        <v>244</v>
      </c>
      <c r="E318" s="363"/>
      <c r="F318" s="372"/>
      <c r="G318" s="372"/>
      <c r="H318" s="372"/>
      <c r="I318" s="372"/>
      <c r="J318" s="372"/>
      <c r="K318" s="526"/>
      <c r="L318" s="844"/>
    </row>
    <row r="319" spans="1:12" ht="15.75" x14ac:dyDescent="0.25">
      <c r="A319" s="425"/>
      <c r="B319" s="452"/>
      <c r="C319" s="97"/>
      <c r="D319" s="429" t="s">
        <v>437</v>
      </c>
      <c r="E319" s="426">
        <v>350000</v>
      </c>
      <c r="F319" s="424">
        <f t="shared" ref="F319:K321" si="204">SUM(F320)</f>
        <v>215000</v>
      </c>
      <c r="G319" s="424">
        <f t="shared" si="204"/>
        <v>28535.403809144598</v>
      </c>
      <c r="H319" s="424">
        <f>SUM(H320)</f>
        <v>55000</v>
      </c>
      <c r="I319" s="424">
        <f t="shared" ref="I319:J319" si="205">SUM(I320)</f>
        <v>2000</v>
      </c>
      <c r="J319" s="424">
        <f t="shared" si="205"/>
        <v>57000</v>
      </c>
      <c r="K319" s="527">
        <f t="shared" si="204"/>
        <v>429466.5</v>
      </c>
      <c r="L319" s="845"/>
    </row>
    <row r="320" spans="1:12" s="390" customFormat="1" ht="15.75" thickBot="1" x14ac:dyDescent="0.3">
      <c r="A320" s="358" t="s">
        <v>651</v>
      </c>
      <c r="B320" s="447"/>
      <c r="C320" s="354">
        <v>32</v>
      </c>
      <c r="D320" s="365" t="s">
        <v>180</v>
      </c>
      <c r="E320" s="362">
        <v>350000</v>
      </c>
      <c r="F320" s="362">
        <f t="shared" si="204"/>
        <v>215000</v>
      </c>
      <c r="G320" s="362">
        <f t="shared" si="204"/>
        <v>28535.403809144598</v>
      </c>
      <c r="H320" s="362">
        <f t="shared" si="204"/>
        <v>55000</v>
      </c>
      <c r="I320" s="362">
        <f t="shared" si="204"/>
        <v>2000</v>
      </c>
      <c r="J320" s="362">
        <f t="shared" si="204"/>
        <v>57000</v>
      </c>
      <c r="K320" s="530">
        <f t="shared" si="204"/>
        <v>429466.5</v>
      </c>
      <c r="L320" s="727">
        <f>AVERAGE(J320/H320*100)</f>
        <v>103.63636363636364</v>
      </c>
    </row>
    <row r="321" spans="1:12" s="535" customFormat="1" ht="16.5" thickTop="1" x14ac:dyDescent="0.25">
      <c r="A321" s="355" t="s">
        <v>651</v>
      </c>
      <c r="B321" s="446"/>
      <c r="C321" s="367">
        <v>323</v>
      </c>
      <c r="D321" s="368" t="s">
        <v>56</v>
      </c>
      <c r="E321" s="363">
        <v>350000</v>
      </c>
      <c r="F321" s="363">
        <f t="shared" si="204"/>
        <v>215000</v>
      </c>
      <c r="G321" s="363">
        <f t="shared" si="204"/>
        <v>28535.403809144598</v>
      </c>
      <c r="H321" s="363">
        <f>SUM(H322)</f>
        <v>55000</v>
      </c>
      <c r="I321" s="363">
        <f t="shared" si="204"/>
        <v>2000</v>
      </c>
      <c r="J321" s="363">
        <f t="shared" si="204"/>
        <v>57000</v>
      </c>
      <c r="K321" s="529">
        <f t="shared" si="204"/>
        <v>429466.5</v>
      </c>
      <c r="L321" s="384">
        <f t="shared" ref="L321:L322" si="206">AVERAGE(J321/H321*100)</f>
        <v>103.63636363636364</v>
      </c>
    </row>
    <row r="322" spans="1:12" s="28" customFormat="1" ht="15" thickBot="1" x14ac:dyDescent="0.25">
      <c r="A322" s="404" t="s">
        <v>651</v>
      </c>
      <c r="B322" s="448"/>
      <c r="C322" s="386">
        <v>3232</v>
      </c>
      <c r="D322" s="387" t="s">
        <v>242</v>
      </c>
      <c r="E322" s="388">
        <v>350000</v>
      </c>
      <c r="F322" s="388">
        <v>215000</v>
      </c>
      <c r="G322" s="388">
        <f>F322/7.5345</f>
        <v>28535.403809144598</v>
      </c>
      <c r="H322" s="388">
        <v>55000</v>
      </c>
      <c r="I322" s="388">
        <v>2000</v>
      </c>
      <c r="J322" s="388">
        <f>SUM(H322+I322)</f>
        <v>57000</v>
      </c>
      <c r="K322" s="531">
        <f>J322*7.5345</f>
        <v>429466.5</v>
      </c>
      <c r="L322" s="384">
        <f t="shared" si="206"/>
        <v>103.63636363636364</v>
      </c>
    </row>
    <row r="323" spans="1:12" ht="29.25" thickTop="1" x14ac:dyDescent="0.2">
      <c r="A323" s="401"/>
      <c r="B323" s="451"/>
      <c r="C323" s="40"/>
      <c r="D323" s="396" t="s">
        <v>406</v>
      </c>
      <c r="E323" s="373"/>
      <c r="F323" s="372"/>
      <c r="G323" s="372"/>
      <c r="H323" s="372"/>
      <c r="I323" s="372"/>
      <c r="J323" s="372"/>
      <c r="K323" s="526"/>
      <c r="L323" s="843">
        <f>AVERAGE(J325/H325*100)</f>
        <v>238.33333333333334</v>
      </c>
    </row>
    <row r="324" spans="1:12" ht="14.25" x14ac:dyDescent="0.2">
      <c r="A324" s="401"/>
      <c r="B324" s="451"/>
      <c r="C324" s="40"/>
      <c r="D324" s="395" t="s">
        <v>615</v>
      </c>
      <c r="E324" s="363"/>
      <c r="F324" s="372"/>
      <c r="G324" s="372"/>
      <c r="H324" s="372"/>
      <c r="I324" s="372"/>
      <c r="J324" s="372"/>
      <c r="K324" s="526"/>
      <c r="L324" s="844"/>
    </row>
    <row r="325" spans="1:12" ht="15.75" x14ac:dyDescent="0.25">
      <c r="A325" s="425"/>
      <c r="B325" s="452"/>
      <c r="C325" s="97"/>
      <c r="D325" s="429" t="s">
        <v>588</v>
      </c>
      <c r="E325" s="426">
        <v>750000</v>
      </c>
      <c r="F325" s="424">
        <f t="shared" ref="F325:K327" si="207">SUM(F326)</f>
        <v>400000</v>
      </c>
      <c r="G325" s="424">
        <f t="shared" si="207"/>
        <v>53089.123365850421</v>
      </c>
      <c r="H325" s="424">
        <f t="shared" si="207"/>
        <v>30000</v>
      </c>
      <c r="I325" s="424">
        <f t="shared" si="207"/>
        <v>41500</v>
      </c>
      <c r="J325" s="424">
        <f t="shared" si="207"/>
        <v>71500</v>
      </c>
      <c r="K325" s="527">
        <f t="shared" si="207"/>
        <v>538716.75</v>
      </c>
      <c r="L325" s="845"/>
    </row>
    <row r="326" spans="1:12" s="390" customFormat="1" ht="15.75" thickBot="1" x14ac:dyDescent="0.3">
      <c r="A326" s="358" t="s">
        <v>653</v>
      </c>
      <c r="B326" s="447"/>
      <c r="C326" s="354">
        <v>32</v>
      </c>
      <c r="D326" s="365" t="s">
        <v>180</v>
      </c>
      <c r="E326" s="362">
        <v>750000</v>
      </c>
      <c r="F326" s="362">
        <f t="shared" si="207"/>
        <v>400000</v>
      </c>
      <c r="G326" s="362">
        <f t="shared" si="207"/>
        <v>53089.123365850421</v>
      </c>
      <c r="H326" s="362">
        <f t="shared" si="207"/>
        <v>30000</v>
      </c>
      <c r="I326" s="362">
        <f t="shared" si="207"/>
        <v>41500</v>
      </c>
      <c r="J326" s="362">
        <f t="shared" si="207"/>
        <v>71500</v>
      </c>
      <c r="K326" s="530">
        <f t="shared" si="207"/>
        <v>538716.75</v>
      </c>
      <c r="L326" s="727">
        <f>AVERAGE(J326/H326*100)</f>
        <v>238.33333333333334</v>
      </c>
    </row>
    <row r="327" spans="1:12" s="97" customFormat="1" ht="16.5" thickTop="1" x14ac:dyDescent="0.25">
      <c r="A327" s="355" t="s">
        <v>653</v>
      </c>
      <c r="B327" s="446"/>
      <c r="C327" s="367">
        <v>323</v>
      </c>
      <c r="D327" s="368" t="s">
        <v>56</v>
      </c>
      <c r="E327" s="363">
        <v>750000</v>
      </c>
      <c r="F327" s="363">
        <f t="shared" si="207"/>
        <v>400000</v>
      </c>
      <c r="G327" s="363">
        <f t="shared" si="207"/>
        <v>53089.123365850421</v>
      </c>
      <c r="H327" s="363">
        <f t="shared" si="207"/>
        <v>30000</v>
      </c>
      <c r="I327" s="363">
        <f t="shared" si="207"/>
        <v>41500</v>
      </c>
      <c r="J327" s="363">
        <f t="shared" si="207"/>
        <v>71500</v>
      </c>
      <c r="K327" s="529">
        <f t="shared" si="207"/>
        <v>538716.75</v>
      </c>
      <c r="L327" s="384">
        <f t="shared" ref="L327:L328" si="208">AVERAGE(J327/H327*100)</f>
        <v>238.33333333333334</v>
      </c>
    </row>
    <row r="328" spans="1:12" s="28" customFormat="1" ht="15" thickBot="1" x14ac:dyDescent="0.25">
      <c r="A328" s="404" t="s">
        <v>653</v>
      </c>
      <c r="B328" s="448"/>
      <c r="C328" s="386">
        <v>3232</v>
      </c>
      <c r="D328" s="387" t="s">
        <v>242</v>
      </c>
      <c r="E328" s="388">
        <v>750000</v>
      </c>
      <c r="F328" s="388">
        <v>400000</v>
      </c>
      <c r="G328" s="388">
        <f>F328/7.5345</f>
        <v>53089.123365850421</v>
      </c>
      <c r="H328" s="388">
        <v>30000</v>
      </c>
      <c r="I328" s="388">
        <v>41500</v>
      </c>
      <c r="J328" s="388">
        <f>SUM(H328+I328)</f>
        <v>71500</v>
      </c>
      <c r="K328" s="531">
        <f>J328*7.5345</f>
        <v>538716.75</v>
      </c>
      <c r="L328" s="384">
        <f t="shared" si="208"/>
        <v>238.33333333333334</v>
      </c>
    </row>
    <row r="329" spans="1:12" ht="29.25" thickTop="1" x14ac:dyDescent="0.2">
      <c r="A329" s="401"/>
      <c r="B329" s="451"/>
      <c r="C329" s="40"/>
      <c r="D329" s="396" t="s">
        <v>406</v>
      </c>
      <c r="E329" s="373"/>
      <c r="F329" s="372"/>
      <c r="G329" s="372"/>
      <c r="H329" s="372"/>
      <c r="I329" s="372"/>
      <c r="J329" s="372"/>
      <c r="K329" s="526"/>
      <c r="L329" s="843">
        <f>AVERAGE(J331/H331*100)</f>
        <v>143.125</v>
      </c>
    </row>
    <row r="330" spans="1:12" ht="14.25" x14ac:dyDescent="0.2">
      <c r="A330" s="401"/>
      <c r="B330" s="451"/>
      <c r="C330" s="40"/>
      <c r="D330" s="395" t="s">
        <v>615</v>
      </c>
      <c r="E330" s="363"/>
      <c r="F330" s="372"/>
      <c r="G330" s="372"/>
      <c r="H330" s="372"/>
      <c r="I330" s="372"/>
      <c r="J330" s="372"/>
      <c r="K330" s="526"/>
      <c r="L330" s="844"/>
    </row>
    <row r="331" spans="1:12" ht="15.75" x14ac:dyDescent="0.25">
      <c r="A331" s="425"/>
      <c r="B331" s="452"/>
      <c r="C331" s="97"/>
      <c r="D331" s="429" t="s">
        <v>589</v>
      </c>
      <c r="E331" s="426">
        <v>120000</v>
      </c>
      <c r="F331" s="424">
        <f t="shared" ref="F331:K333" si="209">SUM(F332)</f>
        <v>100000</v>
      </c>
      <c r="G331" s="424">
        <f t="shared" si="209"/>
        <v>13272.280841462605</v>
      </c>
      <c r="H331" s="424">
        <f t="shared" si="209"/>
        <v>32000</v>
      </c>
      <c r="I331" s="424">
        <f t="shared" si="209"/>
        <v>13800</v>
      </c>
      <c r="J331" s="424">
        <f t="shared" si="209"/>
        <v>45800</v>
      </c>
      <c r="K331" s="527">
        <f t="shared" si="209"/>
        <v>345080.10000000003</v>
      </c>
      <c r="L331" s="845"/>
    </row>
    <row r="332" spans="1:12" s="390" customFormat="1" ht="15.75" thickBot="1" x14ac:dyDescent="0.3">
      <c r="A332" s="358" t="s">
        <v>652</v>
      </c>
      <c r="B332" s="447"/>
      <c r="C332" s="354">
        <v>32</v>
      </c>
      <c r="D332" s="365" t="s">
        <v>180</v>
      </c>
      <c r="E332" s="362">
        <v>120000</v>
      </c>
      <c r="F332" s="362">
        <f t="shared" si="209"/>
        <v>100000</v>
      </c>
      <c r="G332" s="362">
        <f t="shared" si="209"/>
        <v>13272.280841462605</v>
      </c>
      <c r="H332" s="362">
        <f t="shared" si="209"/>
        <v>32000</v>
      </c>
      <c r="I332" s="362">
        <f t="shared" si="209"/>
        <v>13800</v>
      </c>
      <c r="J332" s="362">
        <f t="shared" si="209"/>
        <v>45800</v>
      </c>
      <c r="K332" s="530">
        <f t="shared" si="209"/>
        <v>345080.10000000003</v>
      </c>
      <c r="L332" s="727">
        <f>AVERAGE(J332/H332*100)</f>
        <v>143.125</v>
      </c>
    </row>
    <row r="333" spans="1:12" s="97" customFormat="1" ht="16.5" thickTop="1" x14ac:dyDescent="0.25">
      <c r="A333" s="355" t="s">
        <v>652</v>
      </c>
      <c r="B333" s="446"/>
      <c r="C333" s="367">
        <v>323</v>
      </c>
      <c r="D333" s="368" t="s">
        <v>56</v>
      </c>
      <c r="E333" s="363">
        <v>120000</v>
      </c>
      <c r="F333" s="363">
        <f t="shared" si="209"/>
        <v>100000</v>
      </c>
      <c r="G333" s="363">
        <f t="shared" si="209"/>
        <v>13272.280841462605</v>
      </c>
      <c r="H333" s="363">
        <f t="shared" si="209"/>
        <v>32000</v>
      </c>
      <c r="I333" s="363">
        <f t="shared" si="209"/>
        <v>13800</v>
      </c>
      <c r="J333" s="363">
        <f t="shared" si="209"/>
        <v>45800</v>
      </c>
      <c r="K333" s="529">
        <f t="shared" si="209"/>
        <v>345080.10000000003</v>
      </c>
      <c r="L333" s="384">
        <f t="shared" ref="L333:L334" si="210">AVERAGE(J333/H333*100)</f>
        <v>143.125</v>
      </c>
    </row>
    <row r="334" spans="1:12" s="28" customFormat="1" ht="15" thickBot="1" x14ac:dyDescent="0.25">
      <c r="A334" s="404" t="s">
        <v>652</v>
      </c>
      <c r="B334" s="448"/>
      <c r="C334" s="386">
        <v>3232</v>
      </c>
      <c r="D334" s="387" t="s">
        <v>242</v>
      </c>
      <c r="E334" s="388">
        <v>120000</v>
      </c>
      <c r="F334" s="388">
        <v>100000</v>
      </c>
      <c r="G334" s="388">
        <f>F334/7.5345</f>
        <v>13272.280841462605</v>
      </c>
      <c r="H334" s="388">
        <v>32000</v>
      </c>
      <c r="I334" s="388">
        <v>13800</v>
      </c>
      <c r="J334" s="388">
        <f>SUM(H334+I334)</f>
        <v>45800</v>
      </c>
      <c r="K334" s="531">
        <f>J334*7.5345</f>
        <v>345080.10000000003</v>
      </c>
      <c r="L334" s="384">
        <f t="shared" si="210"/>
        <v>143.125</v>
      </c>
    </row>
    <row r="335" spans="1:12" ht="29.25" thickTop="1" x14ac:dyDescent="0.2">
      <c r="A335" s="401"/>
      <c r="B335" s="451"/>
      <c r="C335" s="40"/>
      <c r="D335" s="396" t="s">
        <v>406</v>
      </c>
      <c r="E335" s="373"/>
      <c r="F335" s="372"/>
      <c r="G335" s="372"/>
      <c r="H335" s="372"/>
      <c r="I335" s="372"/>
      <c r="J335" s="372"/>
      <c r="K335" s="526"/>
      <c r="L335" s="843">
        <f>AVERAGE(J337/H337*100)</f>
        <v>137.5</v>
      </c>
    </row>
    <row r="336" spans="1:12" ht="14.25" x14ac:dyDescent="0.2">
      <c r="A336" s="401"/>
      <c r="B336" s="451"/>
      <c r="C336" s="40"/>
      <c r="D336" s="395" t="s">
        <v>611</v>
      </c>
      <c r="E336" s="363"/>
      <c r="F336" s="372"/>
      <c r="G336" s="372"/>
      <c r="H336" s="372"/>
      <c r="I336" s="372"/>
      <c r="J336" s="372"/>
      <c r="K336" s="526"/>
      <c r="L336" s="844"/>
    </row>
    <row r="337" spans="1:12" ht="15.75" x14ac:dyDescent="0.25">
      <c r="A337" s="425"/>
      <c r="B337" s="452"/>
      <c r="C337" s="97"/>
      <c r="D337" s="429" t="s">
        <v>590</v>
      </c>
      <c r="E337" s="426">
        <v>50000</v>
      </c>
      <c r="F337" s="424">
        <f t="shared" ref="F337:K339" si="211">SUM(F338)</f>
        <v>150000</v>
      </c>
      <c r="G337" s="424">
        <f t="shared" si="211"/>
        <v>19908.421262193908</v>
      </c>
      <c r="H337" s="424">
        <f t="shared" si="211"/>
        <v>20000</v>
      </c>
      <c r="I337" s="424">
        <f t="shared" si="211"/>
        <v>7500</v>
      </c>
      <c r="J337" s="424">
        <f t="shared" si="211"/>
        <v>27500</v>
      </c>
      <c r="K337" s="527">
        <f t="shared" si="211"/>
        <v>207198.75</v>
      </c>
      <c r="L337" s="845"/>
    </row>
    <row r="338" spans="1:12" s="390" customFormat="1" ht="15.75" thickBot="1" x14ac:dyDescent="0.3">
      <c r="A338" s="358" t="s">
        <v>654</v>
      </c>
      <c r="B338" s="447"/>
      <c r="C338" s="354">
        <v>32</v>
      </c>
      <c r="D338" s="365" t="s">
        <v>180</v>
      </c>
      <c r="E338" s="362">
        <v>50000</v>
      </c>
      <c r="F338" s="362">
        <f t="shared" si="211"/>
        <v>150000</v>
      </c>
      <c r="G338" s="362">
        <f t="shared" si="211"/>
        <v>19908.421262193908</v>
      </c>
      <c r="H338" s="362">
        <f t="shared" si="211"/>
        <v>20000</v>
      </c>
      <c r="I338" s="362">
        <f t="shared" si="211"/>
        <v>7500</v>
      </c>
      <c r="J338" s="362">
        <f t="shared" si="211"/>
        <v>27500</v>
      </c>
      <c r="K338" s="530">
        <f t="shared" si="211"/>
        <v>207198.75</v>
      </c>
      <c r="L338" s="727">
        <f>AVERAGE(J338/H338*100)</f>
        <v>137.5</v>
      </c>
    </row>
    <row r="339" spans="1:12" s="97" customFormat="1" ht="16.5" thickTop="1" x14ac:dyDescent="0.25">
      <c r="A339" s="355" t="s">
        <v>654</v>
      </c>
      <c r="B339" s="446"/>
      <c r="C339" s="367">
        <v>323</v>
      </c>
      <c r="D339" s="368" t="s">
        <v>56</v>
      </c>
      <c r="E339" s="363">
        <v>50000</v>
      </c>
      <c r="F339" s="363">
        <f t="shared" si="211"/>
        <v>150000</v>
      </c>
      <c r="G339" s="363">
        <f t="shared" si="211"/>
        <v>19908.421262193908</v>
      </c>
      <c r="H339" s="363">
        <f t="shared" si="211"/>
        <v>20000</v>
      </c>
      <c r="I339" s="363">
        <f t="shared" si="211"/>
        <v>7500</v>
      </c>
      <c r="J339" s="363">
        <f t="shared" si="211"/>
        <v>27500</v>
      </c>
      <c r="K339" s="529">
        <f t="shared" si="211"/>
        <v>207198.75</v>
      </c>
      <c r="L339" s="384">
        <f t="shared" ref="L339:L340" si="212">AVERAGE(J339/H339*100)</f>
        <v>137.5</v>
      </c>
    </row>
    <row r="340" spans="1:12" s="28" customFormat="1" ht="15" thickBot="1" x14ac:dyDescent="0.25">
      <c r="A340" s="404" t="s">
        <v>654</v>
      </c>
      <c r="B340" s="448"/>
      <c r="C340" s="386">
        <v>3232</v>
      </c>
      <c r="D340" s="387" t="s">
        <v>242</v>
      </c>
      <c r="E340" s="388">
        <v>50000</v>
      </c>
      <c r="F340" s="388">
        <v>150000</v>
      </c>
      <c r="G340" s="388">
        <f>F340/7.5345</f>
        <v>19908.421262193908</v>
      </c>
      <c r="H340" s="388">
        <v>20000</v>
      </c>
      <c r="I340" s="388">
        <v>7500</v>
      </c>
      <c r="J340" s="388">
        <f>SUM(H340+I340)</f>
        <v>27500</v>
      </c>
      <c r="K340" s="531">
        <f>J340*7.5345</f>
        <v>207198.75</v>
      </c>
      <c r="L340" s="384">
        <f t="shared" si="212"/>
        <v>137.5</v>
      </c>
    </row>
    <row r="341" spans="1:12" ht="29.25" thickTop="1" x14ac:dyDescent="0.2">
      <c r="A341" s="401"/>
      <c r="B341" s="451"/>
      <c r="C341" s="40"/>
      <c r="D341" s="396" t="s">
        <v>406</v>
      </c>
      <c r="E341" s="373"/>
      <c r="F341" s="372"/>
      <c r="G341" s="372"/>
      <c r="H341" s="372"/>
      <c r="I341" s="372"/>
      <c r="J341" s="372"/>
      <c r="K341" s="526"/>
      <c r="L341" s="843">
        <f>AVERAGE(J343/H343*100)</f>
        <v>103.84615384615385</v>
      </c>
    </row>
    <row r="342" spans="1:12" ht="14.25" x14ac:dyDescent="0.2">
      <c r="A342" s="401"/>
      <c r="B342" s="451"/>
      <c r="C342" s="40"/>
      <c r="D342" s="395" t="s">
        <v>611</v>
      </c>
      <c r="E342" s="363"/>
      <c r="F342" s="372"/>
      <c r="G342" s="372"/>
      <c r="H342" s="372"/>
      <c r="I342" s="372"/>
      <c r="J342" s="372"/>
      <c r="K342" s="526"/>
      <c r="L342" s="844"/>
    </row>
    <row r="343" spans="1:12" ht="31.5" x14ac:dyDescent="0.25">
      <c r="A343" s="425"/>
      <c r="B343" s="452"/>
      <c r="C343" s="97"/>
      <c r="D343" s="429" t="s">
        <v>602</v>
      </c>
      <c r="E343" s="426">
        <v>90000</v>
      </c>
      <c r="F343" s="424">
        <f t="shared" ref="F343:K345" si="213">SUM(F344)</f>
        <v>50000</v>
      </c>
      <c r="G343" s="424">
        <f t="shared" si="213"/>
        <v>6636.1404207313026</v>
      </c>
      <c r="H343" s="424">
        <f t="shared" si="213"/>
        <v>13000</v>
      </c>
      <c r="I343" s="424">
        <f t="shared" si="213"/>
        <v>500</v>
      </c>
      <c r="J343" s="424">
        <f t="shared" si="213"/>
        <v>13500</v>
      </c>
      <c r="K343" s="527">
        <f t="shared" si="213"/>
        <v>101715.75</v>
      </c>
      <c r="L343" s="845"/>
    </row>
    <row r="344" spans="1:12" s="390" customFormat="1" ht="15.75" thickBot="1" x14ac:dyDescent="0.3">
      <c r="A344" s="358" t="s">
        <v>655</v>
      </c>
      <c r="B344" s="447"/>
      <c r="C344" s="354">
        <v>32</v>
      </c>
      <c r="D344" s="365" t="s">
        <v>180</v>
      </c>
      <c r="E344" s="362">
        <v>90000</v>
      </c>
      <c r="F344" s="362">
        <f t="shared" si="213"/>
        <v>50000</v>
      </c>
      <c r="G344" s="362">
        <f t="shared" si="213"/>
        <v>6636.1404207313026</v>
      </c>
      <c r="H344" s="362">
        <f t="shared" si="213"/>
        <v>13000</v>
      </c>
      <c r="I344" s="362">
        <f t="shared" si="213"/>
        <v>500</v>
      </c>
      <c r="J344" s="362">
        <f t="shared" si="213"/>
        <v>13500</v>
      </c>
      <c r="K344" s="530">
        <f t="shared" si="213"/>
        <v>101715.75</v>
      </c>
      <c r="L344" s="727">
        <f>AVERAGE(J344/H344*100)</f>
        <v>103.84615384615385</v>
      </c>
    </row>
    <row r="345" spans="1:12" s="416" customFormat="1" ht="18.75" thickTop="1" x14ac:dyDescent="0.25">
      <c r="A345" s="355" t="s">
        <v>655</v>
      </c>
      <c r="B345" s="446"/>
      <c r="C345" s="367">
        <v>323</v>
      </c>
      <c r="D345" s="368" t="s">
        <v>56</v>
      </c>
      <c r="E345" s="363">
        <v>90000</v>
      </c>
      <c r="F345" s="363">
        <f t="shared" si="213"/>
        <v>50000</v>
      </c>
      <c r="G345" s="363">
        <f t="shared" si="213"/>
        <v>6636.1404207313026</v>
      </c>
      <c r="H345" s="363">
        <f t="shared" si="213"/>
        <v>13000</v>
      </c>
      <c r="I345" s="363">
        <f t="shared" si="213"/>
        <v>500</v>
      </c>
      <c r="J345" s="363">
        <f t="shared" si="213"/>
        <v>13500</v>
      </c>
      <c r="K345" s="529">
        <f t="shared" si="213"/>
        <v>101715.75</v>
      </c>
      <c r="L345" s="384">
        <f t="shared" ref="L345:L346" si="214">AVERAGE(J345/H345*100)</f>
        <v>103.84615384615385</v>
      </c>
    </row>
    <row r="346" spans="1:12" ht="15" thickBot="1" x14ac:dyDescent="0.25">
      <c r="A346" s="404" t="s">
        <v>655</v>
      </c>
      <c r="B346" s="448"/>
      <c r="C346" s="386">
        <v>3232</v>
      </c>
      <c r="D346" s="387" t="s">
        <v>242</v>
      </c>
      <c r="E346" s="388">
        <v>90000</v>
      </c>
      <c r="F346" s="388">
        <v>50000</v>
      </c>
      <c r="G346" s="388">
        <f>F346/7.5345</f>
        <v>6636.1404207313026</v>
      </c>
      <c r="H346" s="388">
        <v>13000</v>
      </c>
      <c r="I346" s="388">
        <v>500</v>
      </c>
      <c r="J346" s="388">
        <f>SUM(H346+I346)</f>
        <v>13500</v>
      </c>
      <c r="K346" s="531">
        <f>J346*7.5345</f>
        <v>101715.75</v>
      </c>
      <c r="L346" s="384">
        <f t="shared" si="214"/>
        <v>103.84615384615385</v>
      </c>
    </row>
    <row r="347" spans="1:12" ht="29.25" thickTop="1" x14ac:dyDescent="0.2">
      <c r="A347" s="401"/>
      <c r="B347" s="451"/>
      <c r="C347" s="40"/>
      <c r="D347" s="396" t="s">
        <v>406</v>
      </c>
      <c r="E347" s="373"/>
      <c r="F347" s="372"/>
      <c r="G347" s="372"/>
      <c r="H347" s="372"/>
      <c r="I347" s="372"/>
      <c r="J347" s="372"/>
      <c r="K347" s="526"/>
      <c r="L347" s="843">
        <f>AVERAGE(J349/H349*100)</f>
        <v>178.57142857142858</v>
      </c>
    </row>
    <row r="348" spans="1:12" s="97" customFormat="1" ht="15.75" x14ac:dyDescent="0.25">
      <c r="A348" s="401"/>
      <c r="B348" s="451"/>
      <c r="C348" s="40"/>
      <c r="D348" s="395" t="s">
        <v>616</v>
      </c>
      <c r="E348" s="363"/>
      <c r="F348" s="372"/>
      <c r="G348" s="372"/>
      <c r="H348" s="372"/>
      <c r="I348" s="372"/>
      <c r="J348" s="372"/>
      <c r="K348" s="526"/>
      <c r="L348" s="844"/>
    </row>
    <row r="349" spans="1:12" s="28" customFormat="1" ht="31.5" x14ac:dyDescent="0.25">
      <c r="A349" s="425"/>
      <c r="B349" s="452"/>
      <c r="C349" s="97"/>
      <c r="D349" s="429" t="s">
        <v>591</v>
      </c>
      <c r="E349" s="426">
        <v>50000</v>
      </c>
      <c r="F349" s="424">
        <f t="shared" ref="F349:K351" si="215">SUM(F350)</f>
        <v>5000</v>
      </c>
      <c r="G349" s="424">
        <f t="shared" si="215"/>
        <v>663.61404207313024</v>
      </c>
      <c r="H349" s="424">
        <f t="shared" si="215"/>
        <v>700</v>
      </c>
      <c r="I349" s="424">
        <f t="shared" si="215"/>
        <v>550</v>
      </c>
      <c r="J349" s="424">
        <f t="shared" si="215"/>
        <v>1250</v>
      </c>
      <c r="K349" s="527">
        <f t="shared" si="215"/>
        <v>9418.125</v>
      </c>
      <c r="L349" s="845"/>
    </row>
    <row r="350" spans="1:12" ht="15" x14ac:dyDescent="0.25">
      <c r="A350" s="358" t="s">
        <v>656</v>
      </c>
      <c r="B350" s="447"/>
      <c r="C350" s="354">
        <v>32</v>
      </c>
      <c r="D350" s="365" t="s">
        <v>180</v>
      </c>
      <c r="E350" s="362">
        <v>50000</v>
      </c>
      <c r="F350" s="362">
        <f t="shared" si="215"/>
        <v>5000</v>
      </c>
      <c r="G350" s="362">
        <f t="shared" si="215"/>
        <v>663.61404207313024</v>
      </c>
      <c r="H350" s="362">
        <f t="shared" si="215"/>
        <v>700</v>
      </c>
      <c r="I350" s="362">
        <f t="shared" si="215"/>
        <v>550</v>
      </c>
      <c r="J350" s="362">
        <f t="shared" si="215"/>
        <v>1250</v>
      </c>
      <c r="K350" s="530">
        <f t="shared" si="215"/>
        <v>9418.125</v>
      </c>
      <c r="L350" s="727">
        <f>AVERAGE(J350/H350*100)</f>
        <v>178.57142857142858</v>
      </c>
    </row>
    <row r="351" spans="1:12" ht="14.25" x14ac:dyDescent="0.2">
      <c r="A351" s="355" t="s">
        <v>656</v>
      </c>
      <c r="B351" s="446"/>
      <c r="C351" s="367">
        <v>323</v>
      </c>
      <c r="D351" s="368" t="s">
        <v>56</v>
      </c>
      <c r="E351" s="363">
        <v>50000</v>
      </c>
      <c r="F351" s="363">
        <f t="shared" si="215"/>
        <v>5000</v>
      </c>
      <c r="G351" s="363">
        <f t="shared" si="215"/>
        <v>663.61404207313024</v>
      </c>
      <c r="H351" s="363">
        <f t="shared" si="215"/>
        <v>700</v>
      </c>
      <c r="I351" s="363">
        <f t="shared" si="215"/>
        <v>550</v>
      </c>
      <c r="J351" s="363">
        <f t="shared" si="215"/>
        <v>1250</v>
      </c>
      <c r="K351" s="529">
        <f t="shared" si="215"/>
        <v>9418.125</v>
      </c>
      <c r="L351" s="384">
        <f t="shared" ref="L351:L352" si="216">AVERAGE(J351/H351*100)</f>
        <v>178.57142857142858</v>
      </c>
    </row>
    <row r="352" spans="1:12" s="390" customFormat="1" ht="15" thickBot="1" x14ac:dyDescent="0.25">
      <c r="A352" s="404" t="s">
        <v>656</v>
      </c>
      <c r="B352" s="448"/>
      <c r="C352" s="386">
        <v>3232</v>
      </c>
      <c r="D352" s="387" t="s">
        <v>242</v>
      </c>
      <c r="E352" s="388">
        <v>50000</v>
      </c>
      <c r="F352" s="388">
        <v>5000</v>
      </c>
      <c r="G352" s="388">
        <f>F352/7.5345</f>
        <v>663.61404207313024</v>
      </c>
      <c r="H352" s="388">
        <v>700</v>
      </c>
      <c r="I352" s="388">
        <v>550</v>
      </c>
      <c r="J352" s="388">
        <f>SUM(H352+I352)</f>
        <v>1250</v>
      </c>
      <c r="K352" s="531">
        <f>J352*7.5345</f>
        <v>9418.125</v>
      </c>
      <c r="L352" s="384">
        <f t="shared" si="216"/>
        <v>178.57142857142858</v>
      </c>
    </row>
    <row r="353" spans="1:12" s="535" customFormat="1" ht="30" thickTop="1" x14ac:dyDescent="0.25">
      <c r="A353" s="648"/>
      <c r="B353" s="668"/>
      <c r="C353" s="650"/>
      <c r="D353" s="641" t="s">
        <v>406</v>
      </c>
      <c r="E353" s="651"/>
      <c r="F353" s="614"/>
      <c r="G353" s="614"/>
      <c r="H353" s="614"/>
      <c r="I353" s="614"/>
      <c r="J353" s="614"/>
      <c r="K353" s="642"/>
      <c r="L353" s="849">
        <f>AVERAGE(J355/H355*100)</f>
        <v>190</v>
      </c>
    </row>
    <row r="354" spans="1:12" s="536" customFormat="1" ht="14.25" x14ac:dyDescent="0.2">
      <c r="A354" s="648"/>
      <c r="B354" s="668"/>
      <c r="C354" s="650"/>
      <c r="D354" s="661" t="s">
        <v>617</v>
      </c>
      <c r="E354" s="612"/>
      <c r="F354" s="614"/>
      <c r="G354" s="614"/>
      <c r="H354" s="614"/>
      <c r="I354" s="614"/>
      <c r="J354" s="614"/>
      <c r="K354" s="642"/>
      <c r="L354" s="850"/>
    </row>
    <row r="355" spans="1:12" s="537" customFormat="1" ht="31.5" x14ac:dyDescent="0.25">
      <c r="A355" s="652"/>
      <c r="B355" s="664"/>
      <c r="C355" s="654"/>
      <c r="D355" s="613" t="s">
        <v>592</v>
      </c>
      <c r="E355" s="621">
        <v>50000</v>
      </c>
      <c r="F355" s="599">
        <f t="shared" ref="F355:K355" si="217">SUM(F356)</f>
        <v>37000</v>
      </c>
      <c r="G355" s="599">
        <f t="shared" si="217"/>
        <v>4910.7439113411638</v>
      </c>
      <c r="H355" s="599">
        <f>H356</f>
        <v>10000</v>
      </c>
      <c r="I355" s="599">
        <f t="shared" ref="I355:J355" si="218">I356</f>
        <v>9000</v>
      </c>
      <c r="J355" s="599">
        <f t="shared" si="218"/>
        <v>19000</v>
      </c>
      <c r="K355" s="656">
        <f t="shared" si="217"/>
        <v>143155.5</v>
      </c>
      <c r="L355" s="851"/>
    </row>
    <row r="356" spans="1:12" s="537" customFormat="1" ht="15" x14ac:dyDescent="0.25">
      <c r="A356" s="669" t="s">
        <v>657</v>
      </c>
      <c r="B356" s="623"/>
      <c r="C356" s="624">
        <v>32</v>
      </c>
      <c r="D356" s="625" t="s">
        <v>180</v>
      </c>
      <c r="E356" s="626">
        <v>50000</v>
      </c>
      <c r="F356" s="626">
        <f t="shared" ref="F356:G356" si="219">SUM(F357+F359)</f>
        <v>37000</v>
      </c>
      <c r="G356" s="626">
        <f t="shared" si="219"/>
        <v>4910.7439113411638</v>
      </c>
      <c r="H356" s="626">
        <f>SUM(H357+H359)</f>
        <v>10000</v>
      </c>
      <c r="I356" s="626">
        <f t="shared" ref="I356:J356" si="220">SUM(I357+I359)</f>
        <v>9000</v>
      </c>
      <c r="J356" s="626">
        <f t="shared" si="220"/>
        <v>19000</v>
      </c>
      <c r="K356" s="627">
        <f t="shared" ref="K356" si="221">SUM(K357+K359)</f>
        <v>143155.5</v>
      </c>
      <c r="L356" s="728">
        <f>AVERAGE(J356/H356*100)</f>
        <v>190</v>
      </c>
    </row>
    <row r="357" spans="1:12" s="537" customFormat="1" ht="14.25" x14ac:dyDescent="0.2">
      <c r="A357" s="670" t="s">
        <v>657</v>
      </c>
      <c r="B357" s="628"/>
      <c r="C357" s="629">
        <v>322</v>
      </c>
      <c r="D357" s="618" t="s">
        <v>52</v>
      </c>
      <c r="E357" s="612">
        <v>50000</v>
      </c>
      <c r="F357" s="612">
        <f t="shared" ref="F357:K357" si="222">SUM(F358)</f>
        <v>30000</v>
      </c>
      <c r="G357" s="612">
        <f t="shared" si="222"/>
        <v>3981.6842524387812</v>
      </c>
      <c r="H357" s="612">
        <f>SUM(H358)</f>
        <v>5000</v>
      </c>
      <c r="I357" s="612">
        <f t="shared" ref="I357:J357" si="223">SUM(I358)</f>
        <v>8000</v>
      </c>
      <c r="J357" s="612">
        <f t="shared" si="223"/>
        <v>13000</v>
      </c>
      <c r="K357" s="619">
        <f t="shared" si="222"/>
        <v>97948.5</v>
      </c>
      <c r="L357" s="646">
        <f t="shared" ref="L357:L386" si="224">AVERAGE(J357/H357*100)</f>
        <v>260</v>
      </c>
    </row>
    <row r="358" spans="1:12" s="537" customFormat="1" ht="14.25" x14ac:dyDescent="0.2">
      <c r="A358" s="670" t="s">
        <v>657</v>
      </c>
      <c r="B358" s="628"/>
      <c r="C358" s="629">
        <v>3225</v>
      </c>
      <c r="D358" s="618" t="s">
        <v>190</v>
      </c>
      <c r="E358" s="612">
        <v>50000</v>
      </c>
      <c r="F358" s="612">
        <v>30000</v>
      </c>
      <c r="G358" s="612">
        <f>F358/7.5345</f>
        <v>3981.6842524387812</v>
      </c>
      <c r="H358" s="612">
        <v>5000</v>
      </c>
      <c r="I358" s="612">
        <v>8000</v>
      </c>
      <c r="J358" s="363">
        <f>SUM(H358+I358)</f>
        <v>13000</v>
      </c>
      <c r="K358" s="619">
        <f>J358*7.5345</f>
        <v>97948.5</v>
      </c>
      <c r="L358" s="646">
        <f t="shared" si="224"/>
        <v>260</v>
      </c>
    </row>
    <row r="359" spans="1:12" s="97" customFormat="1" ht="15.75" x14ac:dyDescent="0.25">
      <c r="A359" s="670" t="s">
        <v>657</v>
      </c>
      <c r="B359" s="628"/>
      <c r="C359" s="629">
        <v>323</v>
      </c>
      <c r="D359" s="618" t="s">
        <v>56</v>
      </c>
      <c r="E359" s="612">
        <v>50000</v>
      </c>
      <c r="F359" s="612">
        <f t="shared" ref="F359:K359" si="225">SUM(F360)</f>
        <v>7000</v>
      </c>
      <c r="G359" s="612">
        <f t="shared" si="225"/>
        <v>929.05965890238235</v>
      </c>
      <c r="H359" s="612">
        <f t="shared" si="225"/>
        <v>5000</v>
      </c>
      <c r="I359" s="612">
        <f t="shared" si="225"/>
        <v>1000</v>
      </c>
      <c r="J359" s="612">
        <f t="shared" si="225"/>
        <v>6000</v>
      </c>
      <c r="K359" s="619">
        <f t="shared" si="225"/>
        <v>45207</v>
      </c>
      <c r="L359" s="646">
        <f t="shared" si="224"/>
        <v>120</v>
      </c>
    </row>
    <row r="360" spans="1:12" ht="16.5" customHeight="1" thickBot="1" x14ac:dyDescent="0.25">
      <c r="A360" s="670" t="s">
        <v>657</v>
      </c>
      <c r="B360" s="636"/>
      <c r="C360" s="637">
        <v>3239</v>
      </c>
      <c r="D360" s="638" t="s">
        <v>64</v>
      </c>
      <c r="E360" s="639">
        <v>50000</v>
      </c>
      <c r="F360" s="639">
        <v>7000</v>
      </c>
      <c r="G360" s="639">
        <f>F360/7.5345</f>
        <v>929.05965890238235</v>
      </c>
      <c r="H360" s="639">
        <v>5000</v>
      </c>
      <c r="I360" s="639">
        <v>1000</v>
      </c>
      <c r="J360" s="639">
        <f>SUM(H360+I360)</f>
        <v>6000</v>
      </c>
      <c r="K360" s="640">
        <f>J360*7.5345</f>
        <v>45207</v>
      </c>
      <c r="L360" s="639">
        <f t="shared" si="224"/>
        <v>120</v>
      </c>
    </row>
    <row r="361" spans="1:12" s="4" customFormat="1" ht="30" customHeight="1" thickTop="1" x14ac:dyDescent="0.2">
      <c r="A361" s="401"/>
      <c r="B361" s="451"/>
      <c r="C361" s="40"/>
      <c r="D361" s="396" t="s">
        <v>469</v>
      </c>
      <c r="E361" s="373"/>
      <c r="F361" s="372"/>
      <c r="G361" s="372"/>
      <c r="H361" s="372"/>
      <c r="I361" s="372"/>
      <c r="J361" s="372"/>
      <c r="K361" s="526"/>
      <c r="L361" s="372"/>
    </row>
    <row r="362" spans="1:12" s="97" customFormat="1" ht="29.25" x14ac:dyDescent="0.25">
      <c r="A362" s="720"/>
      <c r="B362" s="721"/>
      <c r="C362" s="722"/>
      <c r="D362" s="396" t="s">
        <v>618</v>
      </c>
      <c r="E362" s="723"/>
      <c r="F362" s="724"/>
      <c r="G362" s="724"/>
      <c r="H362" s="724"/>
      <c r="I362" s="724"/>
      <c r="J362" s="724"/>
      <c r="K362" s="725"/>
      <c r="L362" s="724"/>
    </row>
    <row r="363" spans="1:12" s="28" customFormat="1" ht="31.5" x14ac:dyDescent="0.25">
      <c r="A363" s="425"/>
      <c r="B363" s="452"/>
      <c r="C363" s="97"/>
      <c r="D363" s="429" t="s">
        <v>593</v>
      </c>
      <c r="E363" s="426">
        <v>350000</v>
      </c>
      <c r="F363" s="424">
        <f t="shared" ref="F363:G363" si="226">SUM(F364)</f>
        <v>350000</v>
      </c>
      <c r="G363" s="424">
        <f t="shared" si="226"/>
        <v>46452.982945119118</v>
      </c>
      <c r="H363" s="424">
        <f t="shared" ref="H363:K363" si="227">SUM(H364+H368)</f>
        <v>39000</v>
      </c>
      <c r="I363" s="424">
        <f t="shared" si="227"/>
        <v>-39000</v>
      </c>
      <c r="J363" s="424">
        <f t="shared" si="227"/>
        <v>0</v>
      </c>
      <c r="K363" s="424">
        <f t="shared" si="227"/>
        <v>0</v>
      </c>
      <c r="L363" s="728">
        <f t="shared" si="224"/>
        <v>0</v>
      </c>
    </row>
    <row r="364" spans="1:12" ht="15" x14ac:dyDescent="0.25">
      <c r="A364" s="364" t="s">
        <v>658</v>
      </c>
      <c r="B364" s="447"/>
      <c r="C364" s="354">
        <v>45</v>
      </c>
      <c r="D364" s="365" t="s">
        <v>480</v>
      </c>
      <c r="E364" s="362">
        <v>350000</v>
      </c>
      <c r="F364" s="362">
        <f>SUM(F366)</f>
        <v>350000</v>
      </c>
      <c r="G364" s="362">
        <f>SUM(G366)</f>
        <v>46452.982945119118</v>
      </c>
      <c r="H364" s="362">
        <f>SUM(H365)</f>
        <v>19000</v>
      </c>
      <c r="I364" s="362">
        <f>SUM(I365)</f>
        <v>-19000</v>
      </c>
      <c r="J364" s="362">
        <f>SUM(J366)</f>
        <v>0</v>
      </c>
      <c r="K364" s="530">
        <f>SUM(K366)</f>
        <v>0</v>
      </c>
      <c r="L364" s="646">
        <f t="shared" si="224"/>
        <v>0</v>
      </c>
    </row>
    <row r="365" spans="1:12" ht="15" x14ac:dyDescent="0.25">
      <c r="A365" s="366" t="s">
        <v>658</v>
      </c>
      <c r="B365" s="446"/>
      <c r="C365" s="367">
        <v>451</v>
      </c>
      <c r="D365" s="368" t="s">
        <v>549</v>
      </c>
      <c r="E365" s="362"/>
      <c r="F365" s="362"/>
      <c r="G365" s="362"/>
      <c r="H365" s="363">
        <f>SUM(H366+H367)</f>
        <v>19000</v>
      </c>
      <c r="I365" s="363">
        <f>SUM(I366+I367)</f>
        <v>-19000</v>
      </c>
      <c r="J365" s="363">
        <f t="shared" ref="J365" si="228">SUM(J366)</f>
        <v>0</v>
      </c>
      <c r="K365" s="530"/>
      <c r="L365" s="646">
        <f t="shared" si="224"/>
        <v>0</v>
      </c>
    </row>
    <row r="366" spans="1:12" ht="14.25" x14ac:dyDescent="0.2">
      <c r="A366" s="366" t="s">
        <v>658</v>
      </c>
      <c r="B366" s="446"/>
      <c r="C366" s="367">
        <v>4511</v>
      </c>
      <c r="D366" s="368" t="s">
        <v>549</v>
      </c>
      <c r="E366" s="363">
        <v>350000</v>
      </c>
      <c r="F366" s="363">
        <f>SUM(F368)</f>
        <v>350000</v>
      </c>
      <c r="G366" s="363">
        <f>SUM(G368)</f>
        <v>46452.982945119118</v>
      </c>
      <c r="H366" s="363">
        <v>19000</v>
      </c>
      <c r="I366" s="363">
        <v>-19000</v>
      </c>
      <c r="J366" s="363">
        <f>SUM(H366+I366)</f>
        <v>0</v>
      </c>
      <c r="K366" s="529">
        <f t="shared" ref="K366:K367" si="229">SUM(K368)</f>
        <v>0</v>
      </c>
      <c r="L366" s="646">
        <f t="shared" si="224"/>
        <v>0</v>
      </c>
    </row>
    <row r="367" spans="1:12" s="390" customFormat="1" ht="15" thickBot="1" x14ac:dyDescent="0.25">
      <c r="A367" s="366" t="s">
        <v>658</v>
      </c>
      <c r="B367" s="446"/>
      <c r="C367" s="367">
        <v>4511</v>
      </c>
      <c r="D367" s="368" t="s">
        <v>549</v>
      </c>
      <c r="E367" s="363">
        <v>350000</v>
      </c>
      <c r="F367" s="363">
        <f>SUM(F369)</f>
        <v>0</v>
      </c>
      <c r="G367" s="363">
        <f>SUM(G369)</f>
        <v>0</v>
      </c>
      <c r="H367" s="363">
        <v>0</v>
      </c>
      <c r="I367" s="363">
        <v>0</v>
      </c>
      <c r="J367" s="363">
        <f>SUM(H367+I367)</f>
        <v>0</v>
      </c>
      <c r="K367" s="529">
        <f t="shared" si="229"/>
        <v>0</v>
      </c>
      <c r="L367" s="646" t="e">
        <f t="shared" si="224"/>
        <v>#DIV/0!</v>
      </c>
    </row>
    <row r="368" spans="1:12" s="97" customFormat="1" ht="16.5" thickTop="1" x14ac:dyDescent="0.25">
      <c r="A368" s="366" t="s">
        <v>658</v>
      </c>
      <c r="B368" s="623"/>
      <c r="C368" s="624">
        <v>32</v>
      </c>
      <c r="D368" s="365" t="s">
        <v>47</v>
      </c>
      <c r="E368" s="363">
        <v>350000</v>
      </c>
      <c r="F368" s="363">
        <v>350000</v>
      </c>
      <c r="G368" s="363">
        <f>F368/7.5345</f>
        <v>46452.982945119118</v>
      </c>
      <c r="H368" s="362">
        <f>SUM(H369)</f>
        <v>20000</v>
      </c>
      <c r="I368" s="362">
        <f t="shared" ref="I368:J369" si="230">SUM(I369)</f>
        <v>-20000</v>
      </c>
      <c r="J368" s="362">
        <f t="shared" si="230"/>
        <v>0</v>
      </c>
      <c r="K368" s="529">
        <f>J368*7.5345</f>
        <v>0</v>
      </c>
      <c r="L368" s="728">
        <f t="shared" si="224"/>
        <v>0</v>
      </c>
    </row>
    <row r="369" spans="1:12" s="28" customFormat="1" ht="15" x14ac:dyDescent="0.2">
      <c r="A369" s="366" t="s">
        <v>658</v>
      </c>
      <c r="B369" s="623"/>
      <c r="C369" s="629">
        <v>323</v>
      </c>
      <c r="D369" s="368" t="s">
        <v>548</v>
      </c>
      <c r="E369" s="363"/>
      <c r="F369" s="363"/>
      <c r="G369" s="363"/>
      <c r="H369" s="363">
        <f>SUM(H370)</f>
        <v>20000</v>
      </c>
      <c r="I369" s="363">
        <f t="shared" si="230"/>
        <v>-20000</v>
      </c>
      <c r="J369" s="363">
        <f t="shared" si="230"/>
        <v>0</v>
      </c>
      <c r="K369" s="529"/>
      <c r="L369" s="646">
        <f t="shared" si="224"/>
        <v>0</v>
      </c>
    </row>
    <row r="370" spans="1:12" ht="18.75" customHeight="1" thickBot="1" x14ac:dyDescent="0.25">
      <c r="A370" s="366" t="s">
        <v>658</v>
      </c>
      <c r="B370" s="636"/>
      <c r="C370" s="637">
        <v>3237</v>
      </c>
      <c r="D370" s="387" t="s">
        <v>547</v>
      </c>
      <c r="E370" s="388"/>
      <c r="F370" s="388"/>
      <c r="G370" s="388"/>
      <c r="H370" s="388">
        <v>20000</v>
      </c>
      <c r="I370" s="388">
        <v>-20000</v>
      </c>
      <c r="J370" s="388">
        <f>SUM(H370+I370)</f>
        <v>0</v>
      </c>
      <c r="K370" s="531"/>
      <c r="L370" s="388">
        <f t="shared" si="224"/>
        <v>0</v>
      </c>
    </row>
    <row r="371" spans="1:12" ht="29.25" thickTop="1" x14ac:dyDescent="0.2">
      <c r="A371" s="401"/>
      <c r="B371" s="451"/>
      <c r="C371" s="40"/>
      <c r="D371" s="396" t="s">
        <v>469</v>
      </c>
      <c r="E371" s="373"/>
      <c r="F371" s="372"/>
      <c r="G371" s="372"/>
      <c r="H371" s="372"/>
      <c r="I371" s="372"/>
      <c r="J371" s="372"/>
      <c r="K371" s="526"/>
      <c r="L371" s="372"/>
    </row>
    <row r="372" spans="1:12" ht="14.25" x14ac:dyDescent="0.2">
      <c r="A372" s="401"/>
      <c r="B372" s="451"/>
      <c r="C372" s="40"/>
      <c r="D372" s="395" t="s">
        <v>614</v>
      </c>
      <c r="E372" s="363"/>
      <c r="F372" s="372"/>
      <c r="G372" s="372"/>
      <c r="H372" s="372"/>
      <c r="I372" s="372"/>
      <c r="J372" s="372"/>
      <c r="K372" s="526"/>
      <c r="L372" s="372"/>
    </row>
    <row r="373" spans="1:12" ht="31.5" x14ac:dyDescent="0.25">
      <c r="A373" s="425"/>
      <c r="B373" s="452"/>
      <c r="C373" s="97"/>
      <c r="D373" s="429" t="s">
        <v>594</v>
      </c>
      <c r="E373" s="426">
        <v>350000</v>
      </c>
      <c r="F373" s="424">
        <f t="shared" ref="F373:K374" si="231">SUM(F374)</f>
        <v>0</v>
      </c>
      <c r="G373" s="424">
        <f t="shared" si="231"/>
        <v>0</v>
      </c>
      <c r="H373" s="424">
        <f t="shared" si="231"/>
        <v>0</v>
      </c>
      <c r="I373" s="424">
        <f t="shared" si="231"/>
        <v>0</v>
      </c>
      <c r="J373" s="424">
        <f t="shared" si="231"/>
        <v>0</v>
      </c>
      <c r="K373" s="527">
        <f t="shared" si="231"/>
        <v>0</v>
      </c>
      <c r="L373" s="728" t="e">
        <f t="shared" si="224"/>
        <v>#DIV/0!</v>
      </c>
    </row>
    <row r="374" spans="1:12" ht="15" x14ac:dyDescent="0.25">
      <c r="A374" s="358" t="s">
        <v>659</v>
      </c>
      <c r="B374" s="447"/>
      <c r="C374" s="354">
        <v>32</v>
      </c>
      <c r="D374" s="365" t="s">
        <v>180</v>
      </c>
      <c r="E374" s="362">
        <v>350000</v>
      </c>
      <c r="F374" s="362">
        <f t="shared" si="231"/>
        <v>0</v>
      </c>
      <c r="G374" s="362">
        <f t="shared" si="231"/>
        <v>0</v>
      </c>
      <c r="H374" s="362">
        <f t="shared" si="231"/>
        <v>0</v>
      </c>
      <c r="I374" s="362">
        <f t="shared" si="231"/>
        <v>0</v>
      </c>
      <c r="J374" s="362">
        <f t="shared" si="231"/>
        <v>0</v>
      </c>
      <c r="K374" s="530">
        <f t="shared" si="231"/>
        <v>0</v>
      </c>
      <c r="L374" s="728" t="e">
        <f t="shared" si="224"/>
        <v>#DIV/0!</v>
      </c>
    </row>
    <row r="375" spans="1:12" ht="14.25" x14ac:dyDescent="0.2">
      <c r="A375" s="355" t="s">
        <v>659</v>
      </c>
      <c r="B375" s="446"/>
      <c r="C375" s="367">
        <v>323</v>
      </c>
      <c r="D375" s="368" t="s">
        <v>56</v>
      </c>
      <c r="E375" s="363">
        <v>350000</v>
      </c>
      <c r="F375" s="363">
        <f>SUM(F377)</f>
        <v>0</v>
      </c>
      <c r="G375" s="363">
        <f>SUM(G377)</f>
        <v>0</v>
      </c>
      <c r="H375" s="363">
        <f>SUM(H377)</f>
        <v>0</v>
      </c>
      <c r="I375" s="363">
        <f>SUM(I377+I376)</f>
        <v>0</v>
      </c>
      <c r="J375" s="363">
        <f>SUM(J377)</f>
        <v>0</v>
      </c>
      <c r="K375" s="529">
        <f>SUM(K377)</f>
        <v>0</v>
      </c>
      <c r="L375" s="646" t="e">
        <f t="shared" si="224"/>
        <v>#DIV/0!</v>
      </c>
    </row>
    <row r="376" spans="1:12" s="210" customFormat="1" ht="15" thickBot="1" x14ac:dyDescent="0.25">
      <c r="A376" s="404" t="s">
        <v>659</v>
      </c>
      <c r="B376" s="448"/>
      <c r="C376" s="386">
        <v>3232</v>
      </c>
      <c r="D376" s="387" t="s">
        <v>242</v>
      </c>
      <c r="E376" s="388">
        <v>350000</v>
      </c>
      <c r="F376" s="388">
        <v>0</v>
      </c>
      <c r="G376" s="388">
        <f>F376/7.5345</f>
        <v>0</v>
      </c>
      <c r="H376" s="388">
        <f>G376/7.5345</f>
        <v>0</v>
      </c>
      <c r="I376" s="388">
        <v>0</v>
      </c>
      <c r="J376" s="388">
        <f>SUM(H376+I376)</f>
        <v>0</v>
      </c>
      <c r="K376" s="531">
        <f>J376*7.5345</f>
        <v>0</v>
      </c>
      <c r="L376" s="646" t="e">
        <f t="shared" si="224"/>
        <v>#DIV/0!</v>
      </c>
    </row>
    <row r="377" spans="1:12" s="97" customFormat="1" ht="17.25" thickTop="1" thickBot="1" x14ac:dyDescent="0.3">
      <c r="A377" s="404" t="s">
        <v>659</v>
      </c>
      <c r="B377" s="448"/>
      <c r="C377" s="386">
        <v>3232</v>
      </c>
      <c r="D377" s="387" t="s">
        <v>242</v>
      </c>
      <c r="E377" s="388">
        <v>350000</v>
      </c>
      <c r="F377" s="388">
        <v>0</v>
      </c>
      <c r="G377" s="388">
        <f>F377/7.5345</f>
        <v>0</v>
      </c>
      <c r="H377" s="388">
        <f>G377/7.5345</f>
        <v>0</v>
      </c>
      <c r="I377" s="388">
        <v>0</v>
      </c>
      <c r="J377" s="388">
        <f>SUM(H377+I377)</f>
        <v>0</v>
      </c>
      <c r="K377" s="531">
        <f>J377*7.5345</f>
        <v>0</v>
      </c>
      <c r="L377" s="388" t="e">
        <f t="shared" si="224"/>
        <v>#DIV/0!</v>
      </c>
    </row>
    <row r="378" spans="1:12" s="28" customFormat="1" ht="29.25" thickTop="1" x14ac:dyDescent="0.2">
      <c r="A378" s="401"/>
      <c r="B378" s="451"/>
      <c r="C378" s="40"/>
      <c r="D378" s="396" t="s">
        <v>469</v>
      </c>
      <c r="E378" s="373"/>
      <c r="F378" s="372"/>
      <c r="G378" s="372"/>
      <c r="H378" s="372"/>
      <c r="I378" s="372"/>
      <c r="J378" s="372"/>
      <c r="K378" s="526"/>
      <c r="L378" s="372"/>
    </row>
    <row r="379" spans="1:12" ht="14.25" x14ac:dyDescent="0.2">
      <c r="A379" s="401"/>
      <c r="B379" s="451"/>
      <c r="C379" s="40"/>
      <c r="D379" s="395" t="s">
        <v>610</v>
      </c>
      <c r="E379" s="363"/>
      <c r="F379" s="372"/>
      <c r="G379" s="372"/>
      <c r="H379" s="372"/>
      <c r="I379" s="372"/>
      <c r="J379" s="372"/>
      <c r="K379" s="526"/>
      <c r="L379" s="372"/>
    </row>
    <row r="380" spans="1:12" ht="31.5" x14ac:dyDescent="0.25">
      <c r="A380" s="425"/>
      <c r="B380" s="452"/>
      <c r="C380" s="97"/>
      <c r="D380" s="429" t="s">
        <v>595</v>
      </c>
      <c r="E380" s="426">
        <v>350000</v>
      </c>
      <c r="F380" s="424">
        <f t="shared" ref="F380:K382" si="232">SUM(F381)</f>
        <v>0</v>
      </c>
      <c r="G380" s="424">
        <f t="shared" si="232"/>
        <v>0</v>
      </c>
      <c r="H380" s="424">
        <f t="shared" si="232"/>
        <v>82700</v>
      </c>
      <c r="I380" s="424">
        <f t="shared" si="232"/>
        <v>-200</v>
      </c>
      <c r="J380" s="424">
        <f t="shared" si="232"/>
        <v>82500</v>
      </c>
      <c r="K380" s="527">
        <f t="shared" si="232"/>
        <v>357888.75</v>
      </c>
      <c r="L380" s="728">
        <f t="shared" si="224"/>
        <v>99.758162031438928</v>
      </c>
    </row>
    <row r="381" spans="1:12" ht="15" x14ac:dyDescent="0.25">
      <c r="A381" s="358" t="s">
        <v>660</v>
      </c>
      <c r="B381" s="447"/>
      <c r="C381" s="354">
        <v>32</v>
      </c>
      <c r="D381" s="365" t="s">
        <v>180</v>
      </c>
      <c r="E381" s="362">
        <v>350000</v>
      </c>
      <c r="F381" s="362">
        <f t="shared" si="232"/>
        <v>0</v>
      </c>
      <c r="G381" s="362">
        <f t="shared" si="232"/>
        <v>0</v>
      </c>
      <c r="H381" s="362">
        <f>SUM(H382+H384)</f>
        <v>82700</v>
      </c>
      <c r="I381" s="362">
        <f t="shared" ref="I381:J381" si="233">SUM(I382+I384)</f>
        <v>-200</v>
      </c>
      <c r="J381" s="362">
        <f t="shared" si="233"/>
        <v>82500</v>
      </c>
      <c r="K381" s="530">
        <f t="shared" si="232"/>
        <v>357888.75</v>
      </c>
      <c r="L381" s="728">
        <f t="shared" si="224"/>
        <v>99.758162031438928</v>
      </c>
    </row>
    <row r="382" spans="1:12" s="588" customFormat="1" ht="15" thickBot="1" x14ac:dyDescent="0.25">
      <c r="A382" s="355" t="s">
        <v>660</v>
      </c>
      <c r="B382" s="446"/>
      <c r="C382" s="367">
        <v>323</v>
      </c>
      <c r="D382" s="368" t="s">
        <v>56</v>
      </c>
      <c r="E382" s="363">
        <v>350000</v>
      </c>
      <c r="F382" s="363">
        <f t="shared" si="232"/>
        <v>0</v>
      </c>
      <c r="G382" s="363">
        <f t="shared" si="232"/>
        <v>0</v>
      </c>
      <c r="H382" s="363">
        <f t="shared" si="232"/>
        <v>15000</v>
      </c>
      <c r="I382" s="363">
        <f t="shared" si="232"/>
        <v>32500</v>
      </c>
      <c r="J382" s="363">
        <f t="shared" si="232"/>
        <v>47500</v>
      </c>
      <c r="K382" s="529">
        <f t="shared" si="232"/>
        <v>357888.75</v>
      </c>
      <c r="L382" s="646">
        <f t="shared" si="224"/>
        <v>316.66666666666663</v>
      </c>
    </row>
    <row r="383" spans="1:12" s="97" customFormat="1" ht="16.5" thickTop="1" x14ac:dyDescent="0.25">
      <c r="A383" s="356" t="s">
        <v>660</v>
      </c>
      <c r="B383" s="453"/>
      <c r="C383" s="399">
        <v>3232</v>
      </c>
      <c r="D383" s="370" t="s">
        <v>242</v>
      </c>
      <c r="E383" s="361">
        <v>350000</v>
      </c>
      <c r="F383" s="361">
        <v>0</v>
      </c>
      <c r="G383" s="361">
        <f>F383/7.5345</f>
        <v>0</v>
      </c>
      <c r="H383" s="361">
        <v>15000</v>
      </c>
      <c r="I383" s="361">
        <v>32500</v>
      </c>
      <c r="J383" s="361">
        <f>SUM(H383+I383)</f>
        <v>47500</v>
      </c>
      <c r="K383" s="532">
        <f>J383*7.5345</f>
        <v>357888.75</v>
      </c>
      <c r="L383" s="646">
        <f t="shared" si="224"/>
        <v>316.66666666666663</v>
      </c>
    </row>
    <row r="384" spans="1:12" s="28" customFormat="1" ht="14.25" x14ac:dyDescent="0.2">
      <c r="A384" s="366" t="s">
        <v>660</v>
      </c>
      <c r="B384" s="446"/>
      <c r="C384" s="367">
        <v>323</v>
      </c>
      <c r="D384" s="368" t="s">
        <v>56</v>
      </c>
      <c r="E384" s="363"/>
      <c r="F384" s="363"/>
      <c r="G384" s="363"/>
      <c r="H384" s="363">
        <f>SUM(H385)</f>
        <v>67700</v>
      </c>
      <c r="I384" s="363">
        <f t="shared" ref="I384:J384" si="234">SUM(I385)</f>
        <v>-32700</v>
      </c>
      <c r="J384" s="363">
        <f t="shared" si="234"/>
        <v>35000</v>
      </c>
      <c r="K384" s="529"/>
      <c r="L384" s="646">
        <f t="shared" si="224"/>
        <v>51.698670605612996</v>
      </c>
    </row>
    <row r="385" spans="1:12" ht="15" thickBot="1" x14ac:dyDescent="0.25">
      <c r="A385" s="600" t="s">
        <v>660</v>
      </c>
      <c r="B385" s="448"/>
      <c r="C385" s="386">
        <v>3232</v>
      </c>
      <c r="D385" s="387" t="s">
        <v>242</v>
      </c>
      <c r="E385" s="388"/>
      <c r="F385" s="388"/>
      <c r="G385" s="388"/>
      <c r="H385" s="388">
        <v>67700</v>
      </c>
      <c r="I385" s="361">
        <v>-32700</v>
      </c>
      <c r="J385" s="361">
        <f>SUM(H385+I385)</f>
        <v>35000</v>
      </c>
      <c r="K385" s="531"/>
      <c r="L385" s="646">
        <f t="shared" si="224"/>
        <v>51.698670605612996</v>
      </c>
    </row>
    <row r="386" spans="1:12" ht="19.5" customHeight="1" thickTop="1" thickBot="1" x14ac:dyDescent="0.25">
      <c r="A386" s="859" t="s">
        <v>583</v>
      </c>
      <c r="B386" s="860"/>
      <c r="C386" s="860"/>
      <c r="D386" s="861"/>
      <c r="E386" s="601" t="e">
        <f>SUM(E389+#REF!+#REF!+E395+E401)</f>
        <v>#REF!</v>
      </c>
      <c r="F386" s="601" t="e">
        <f>SUM(F389+F395+F401+F413+#REF!+F420)</f>
        <v>#REF!</v>
      </c>
      <c r="G386" s="601" t="e">
        <f>SUM(G389+G395+G401+G413+#REF!+G420)</f>
        <v>#REF!</v>
      </c>
      <c r="H386" s="601">
        <f>SUM(H389+H395+H401+H413+H420+H428+H436)</f>
        <v>295500</v>
      </c>
      <c r="I386" s="601">
        <f>SUM(I389+I395+I401+I413+I420+I428+I436)</f>
        <v>-103200</v>
      </c>
      <c r="J386" s="601">
        <f>SUM(J389+J395+J401+J413+J420+J428+J436)</f>
        <v>192300</v>
      </c>
      <c r="K386" s="602" t="e">
        <f>SUM(K389+K395+K401+K413+#REF!+K420)</f>
        <v>#REF!</v>
      </c>
      <c r="L386" s="601">
        <f t="shared" si="224"/>
        <v>65.076142131979694</v>
      </c>
    </row>
    <row r="387" spans="1:12" ht="28.5" x14ac:dyDescent="0.2">
      <c r="A387" s="401"/>
      <c r="B387" s="40"/>
      <c r="C387" s="40"/>
      <c r="D387" s="396" t="s">
        <v>469</v>
      </c>
      <c r="E387" s="373"/>
      <c r="F387" s="372"/>
      <c r="G387" s="372"/>
      <c r="H387" s="372"/>
      <c r="I387" s="372"/>
      <c r="J387" s="372"/>
      <c r="K387" s="526"/>
      <c r="L387" s="862">
        <f>AVERAGE(J389/H389*100)</f>
        <v>78.378378378378372</v>
      </c>
    </row>
    <row r="388" spans="1:12" s="390" customFormat="1" ht="39" customHeight="1" thickBot="1" x14ac:dyDescent="0.25">
      <c r="A388" s="401"/>
      <c r="B388" s="40"/>
      <c r="C388" s="40"/>
      <c r="D388" s="395" t="s">
        <v>614</v>
      </c>
      <c r="E388" s="363"/>
      <c r="F388" s="372"/>
      <c r="G388" s="372"/>
      <c r="H388" s="372"/>
      <c r="I388" s="372"/>
      <c r="J388" s="372"/>
      <c r="K388" s="526"/>
      <c r="L388" s="844"/>
    </row>
    <row r="389" spans="1:12" ht="48" thickTop="1" x14ac:dyDescent="0.25">
      <c r="A389" s="425"/>
      <c r="B389" s="97"/>
      <c r="C389" s="97"/>
      <c r="D389" s="429" t="s">
        <v>438</v>
      </c>
      <c r="E389" s="426">
        <v>120000</v>
      </c>
      <c r="F389" s="424">
        <f t="shared" ref="F389:K391" si="235">SUM(F390)</f>
        <v>100000</v>
      </c>
      <c r="G389" s="424">
        <f t="shared" si="235"/>
        <v>13272.280841462605</v>
      </c>
      <c r="H389" s="424">
        <f t="shared" si="235"/>
        <v>18500</v>
      </c>
      <c r="I389" s="424">
        <f t="shared" si="235"/>
        <v>-4000</v>
      </c>
      <c r="J389" s="424">
        <f t="shared" si="235"/>
        <v>14500</v>
      </c>
      <c r="K389" s="527">
        <f t="shared" si="235"/>
        <v>109250.25</v>
      </c>
      <c r="L389" s="845"/>
    </row>
    <row r="390" spans="1:12" ht="15" x14ac:dyDescent="0.25">
      <c r="A390" s="358" t="s">
        <v>460</v>
      </c>
      <c r="B390" s="447"/>
      <c r="C390" s="354">
        <v>41</v>
      </c>
      <c r="D390" s="365" t="s">
        <v>248</v>
      </c>
      <c r="E390" s="362">
        <v>120000</v>
      </c>
      <c r="F390" s="362">
        <f t="shared" si="235"/>
        <v>100000</v>
      </c>
      <c r="G390" s="362">
        <f t="shared" si="235"/>
        <v>13272.280841462605</v>
      </c>
      <c r="H390" s="362">
        <f t="shared" si="235"/>
        <v>18500</v>
      </c>
      <c r="I390" s="362">
        <f t="shared" si="235"/>
        <v>-4000</v>
      </c>
      <c r="J390" s="362">
        <f t="shared" si="235"/>
        <v>14500</v>
      </c>
      <c r="K390" s="530">
        <f t="shared" si="235"/>
        <v>109250.25</v>
      </c>
      <c r="L390" s="727">
        <f>AVERAGE(J390/H390*100)</f>
        <v>78.378378378378372</v>
      </c>
    </row>
    <row r="391" spans="1:12" ht="14.25" x14ac:dyDescent="0.2">
      <c r="A391" s="355" t="s">
        <v>460</v>
      </c>
      <c r="B391" s="446"/>
      <c r="C391" s="367">
        <v>411</v>
      </c>
      <c r="D391" s="368" t="s">
        <v>95</v>
      </c>
      <c r="E391" s="363">
        <v>120000</v>
      </c>
      <c r="F391" s="363">
        <f t="shared" si="235"/>
        <v>100000</v>
      </c>
      <c r="G391" s="363">
        <f t="shared" si="235"/>
        <v>13272.280841462605</v>
      </c>
      <c r="H391" s="363">
        <f t="shared" si="235"/>
        <v>18500</v>
      </c>
      <c r="I391" s="363">
        <f t="shared" si="235"/>
        <v>-4000</v>
      </c>
      <c r="J391" s="363">
        <f t="shared" si="235"/>
        <v>14500</v>
      </c>
      <c r="K391" s="529">
        <f t="shared" si="235"/>
        <v>109250.25</v>
      </c>
      <c r="L391" s="384">
        <f t="shared" ref="L391:L392" si="236">AVERAGE(J391/H391*100)</f>
        <v>78.378378378378372</v>
      </c>
    </row>
    <row r="392" spans="1:12" ht="18" customHeight="1" thickBot="1" x14ac:dyDescent="0.25">
      <c r="A392" s="404" t="s">
        <v>460</v>
      </c>
      <c r="B392" s="448"/>
      <c r="C392" s="386">
        <v>4111</v>
      </c>
      <c r="D392" s="387" t="s">
        <v>40</v>
      </c>
      <c r="E392" s="388">
        <v>120000</v>
      </c>
      <c r="F392" s="388">
        <v>100000</v>
      </c>
      <c r="G392" s="388">
        <f>F392/7.5345</f>
        <v>13272.280841462605</v>
      </c>
      <c r="H392" s="388">
        <v>18500</v>
      </c>
      <c r="I392" s="388">
        <v>-4000</v>
      </c>
      <c r="J392" s="388">
        <f>SUM(H392+I392)</f>
        <v>14500</v>
      </c>
      <c r="K392" s="531">
        <f>J392*7.5345</f>
        <v>109250.25</v>
      </c>
      <c r="L392" s="384">
        <f t="shared" si="236"/>
        <v>78.378378378378372</v>
      </c>
    </row>
    <row r="393" spans="1:12" s="97" customFormat="1" ht="30" thickTop="1" x14ac:dyDescent="0.25">
      <c r="A393" s="401"/>
      <c r="B393" s="451"/>
      <c r="C393" s="40"/>
      <c r="D393" s="396" t="s">
        <v>469</v>
      </c>
      <c r="E393" s="373"/>
      <c r="F393" s="372"/>
      <c r="G393" s="372"/>
      <c r="H393" s="372"/>
      <c r="I393" s="372"/>
      <c r="J393" s="372"/>
      <c r="K393" s="526"/>
      <c r="L393" s="843">
        <f>AVERAGE(J395/H395*100)</f>
        <v>0</v>
      </c>
    </row>
    <row r="394" spans="1:12" ht="14.25" x14ac:dyDescent="0.2">
      <c r="A394" s="401"/>
      <c r="B394" s="451"/>
      <c r="C394" s="40"/>
      <c r="D394" s="395" t="s">
        <v>619</v>
      </c>
      <c r="E394" s="363"/>
      <c r="F394" s="372"/>
      <c r="G394" s="372"/>
      <c r="H394" s="372"/>
      <c r="I394" s="372"/>
      <c r="J394" s="372"/>
      <c r="K394" s="526"/>
      <c r="L394" s="844"/>
    </row>
    <row r="395" spans="1:12" s="455" customFormat="1" ht="15.75" x14ac:dyDescent="0.25">
      <c r="A395" s="425"/>
      <c r="B395" s="452"/>
      <c r="C395" s="97"/>
      <c r="D395" s="429" t="s">
        <v>439</v>
      </c>
      <c r="E395" s="426">
        <v>300000</v>
      </c>
      <c r="F395" s="424">
        <f t="shared" ref="F395:K397" si="237">SUM(F396)</f>
        <v>100000</v>
      </c>
      <c r="G395" s="424">
        <f t="shared" si="237"/>
        <v>13272.280841462605</v>
      </c>
      <c r="H395" s="424">
        <f t="shared" si="237"/>
        <v>20000</v>
      </c>
      <c r="I395" s="424">
        <f t="shared" si="237"/>
        <v>-20000</v>
      </c>
      <c r="J395" s="424">
        <f t="shared" si="237"/>
        <v>0</v>
      </c>
      <c r="K395" s="527">
        <f t="shared" si="237"/>
        <v>0</v>
      </c>
      <c r="L395" s="845"/>
    </row>
    <row r="396" spans="1:12" ht="15" x14ac:dyDescent="0.25">
      <c r="A396" s="358" t="s">
        <v>461</v>
      </c>
      <c r="B396" s="447"/>
      <c r="C396" s="354">
        <v>42</v>
      </c>
      <c r="D396" s="365" t="s">
        <v>250</v>
      </c>
      <c r="E396" s="362">
        <v>300000</v>
      </c>
      <c r="F396" s="362">
        <f t="shared" si="237"/>
        <v>100000</v>
      </c>
      <c r="G396" s="362">
        <f t="shared" si="237"/>
        <v>13272.280841462605</v>
      </c>
      <c r="H396" s="362">
        <f t="shared" si="237"/>
        <v>20000</v>
      </c>
      <c r="I396" s="362">
        <f t="shared" si="237"/>
        <v>-20000</v>
      </c>
      <c r="J396" s="362">
        <f t="shared" si="237"/>
        <v>0</v>
      </c>
      <c r="K396" s="530">
        <f t="shared" si="237"/>
        <v>0</v>
      </c>
      <c r="L396" s="727">
        <f>AVERAGE(J396/H396*100)</f>
        <v>0</v>
      </c>
    </row>
    <row r="397" spans="1:12" ht="14.25" x14ac:dyDescent="0.2">
      <c r="A397" s="355" t="s">
        <v>461</v>
      </c>
      <c r="B397" s="446"/>
      <c r="C397" s="367">
        <v>421</v>
      </c>
      <c r="D397" s="368" t="s">
        <v>97</v>
      </c>
      <c r="E397" s="363">
        <v>300000</v>
      </c>
      <c r="F397" s="363">
        <f t="shared" si="237"/>
        <v>100000</v>
      </c>
      <c r="G397" s="363">
        <f t="shared" si="237"/>
        <v>13272.280841462605</v>
      </c>
      <c r="H397" s="363">
        <f t="shared" si="237"/>
        <v>20000</v>
      </c>
      <c r="I397" s="363">
        <f t="shared" si="237"/>
        <v>-20000</v>
      </c>
      <c r="J397" s="363">
        <f t="shared" si="237"/>
        <v>0</v>
      </c>
      <c r="K397" s="529">
        <f t="shared" si="237"/>
        <v>0</v>
      </c>
      <c r="L397" s="384">
        <f t="shared" ref="L397:L398" si="238">AVERAGE(J397/H397*100)</f>
        <v>0</v>
      </c>
    </row>
    <row r="398" spans="1:12" s="589" customFormat="1" ht="21.75" customHeight="1" thickBot="1" x14ac:dyDescent="0.3">
      <c r="A398" s="404" t="s">
        <v>461</v>
      </c>
      <c r="B398" s="448"/>
      <c r="C398" s="386">
        <v>4214</v>
      </c>
      <c r="D398" s="387" t="s">
        <v>251</v>
      </c>
      <c r="E398" s="388">
        <v>300000</v>
      </c>
      <c r="F398" s="388">
        <v>100000</v>
      </c>
      <c r="G398" s="388">
        <f>F398/7.5345</f>
        <v>13272.280841462605</v>
      </c>
      <c r="H398" s="388">
        <v>20000</v>
      </c>
      <c r="I398" s="388">
        <v>-20000</v>
      </c>
      <c r="J398" s="388">
        <f>SUM(H398+I398)</f>
        <v>0</v>
      </c>
      <c r="K398" s="531">
        <f>J398*7.5345</f>
        <v>0</v>
      </c>
      <c r="L398" s="384">
        <f t="shared" si="238"/>
        <v>0</v>
      </c>
    </row>
    <row r="399" spans="1:12" s="28" customFormat="1" ht="29.25" thickTop="1" x14ac:dyDescent="0.2">
      <c r="A399" s="648"/>
      <c r="B399" s="668"/>
      <c r="C399" s="650"/>
      <c r="D399" s="641" t="s">
        <v>469</v>
      </c>
      <c r="E399" s="651"/>
      <c r="F399" s="614"/>
      <c r="G399" s="614"/>
      <c r="H399" s="614"/>
      <c r="I399" s="614"/>
      <c r="J399" s="614"/>
      <c r="K399" s="642"/>
      <c r="L399" s="849">
        <f>AVERAGE(J401/H401*100)</f>
        <v>99.415807560137466</v>
      </c>
    </row>
    <row r="400" spans="1:12" ht="28.5" x14ac:dyDescent="0.2">
      <c r="A400" s="648"/>
      <c r="B400" s="668"/>
      <c r="C400" s="650"/>
      <c r="D400" s="641" t="s">
        <v>615</v>
      </c>
      <c r="E400" s="612"/>
      <c r="F400" s="614"/>
      <c r="G400" s="614"/>
      <c r="H400" s="614"/>
      <c r="I400" s="614"/>
      <c r="J400" s="614"/>
      <c r="K400" s="642"/>
      <c r="L400" s="850"/>
    </row>
    <row r="401" spans="1:12" ht="15.75" x14ac:dyDescent="0.25">
      <c r="A401" s="652"/>
      <c r="B401" s="664"/>
      <c r="C401" s="654"/>
      <c r="D401" s="613" t="s">
        <v>440</v>
      </c>
      <c r="E401" s="621">
        <v>1472500</v>
      </c>
      <c r="F401" s="599">
        <f t="shared" ref="F401:K401" si="239">SUM(F402)</f>
        <v>665000</v>
      </c>
      <c r="G401" s="599">
        <f t="shared" si="239"/>
        <v>88260.667595726321</v>
      </c>
      <c r="H401" s="599">
        <f t="shared" si="239"/>
        <v>145500</v>
      </c>
      <c r="I401" s="599">
        <f t="shared" si="239"/>
        <v>-850</v>
      </c>
      <c r="J401" s="599">
        <f t="shared" si="239"/>
        <v>144650</v>
      </c>
      <c r="K401" s="656">
        <f t="shared" si="239"/>
        <v>754203.45000000007</v>
      </c>
      <c r="L401" s="851"/>
    </row>
    <row r="402" spans="1:12" s="697" customFormat="1" ht="15" x14ac:dyDescent="0.25">
      <c r="A402" s="669" t="s">
        <v>661</v>
      </c>
      <c r="B402" s="623"/>
      <c r="C402" s="624">
        <v>42</v>
      </c>
      <c r="D402" s="625" t="s">
        <v>250</v>
      </c>
      <c r="E402" s="626">
        <v>1472500</v>
      </c>
      <c r="F402" s="626">
        <f t="shared" ref="F402:K402" si="240">SUM(F403)</f>
        <v>665000</v>
      </c>
      <c r="G402" s="626">
        <f t="shared" si="240"/>
        <v>88260.667595726321</v>
      </c>
      <c r="H402" s="626">
        <f t="shared" si="240"/>
        <v>145500</v>
      </c>
      <c r="I402" s="626">
        <f t="shared" si="240"/>
        <v>-850</v>
      </c>
      <c r="J402" s="626">
        <f t="shared" si="240"/>
        <v>144650</v>
      </c>
      <c r="K402" s="627">
        <f t="shared" si="240"/>
        <v>754203.45000000007</v>
      </c>
      <c r="L402" s="728">
        <f>AVERAGE(J402/H402*100)</f>
        <v>99.415807560137466</v>
      </c>
    </row>
    <row r="403" spans="1:12" ht="14.25" x14ac:dyDescent="0.2">
      <c r="A403" s="670" t="s">
        <v>661</v>
      </c>
      <c r="B403" s="628"/>
      <c r="C403" s="629">
        <v>421</v>
      </c>
      <c r="D403" s="618" t="s">
        <v>97</v>
      </c>
      <c r="E403" s="612">
        <v>1472500</v>
      </c>
      <c r="F403" s="612">
        <f>SUM(F404:F409)</f>
        <v>665000</v>
      </c>
      <c r="G403" s="612">
        <f>SUM(G404:G409)</f>
        <v>88260.667595726321</v>
      </c>
      <c r="H403" s="612">
        <f>SUM(H404:H410)</f>
        <v>145500</v>
      </c>
      <c r="I403" s="612">
        <f t="shared" ref="I403:J403" si="241">SUM(I404:I410)</f>
        <v>-850</v>
      </c>
      <c r="J403" s="612">
        <f t="shared" si="241"/>
        <v>144650</v>
      </c>
      <c r="K403" s="619">
        <f>SUM(K404:K409)</f>
        <v>754203.45000000007</v>
      </c>
      <c r="L403" s="646">
        <f t="shared" ref="L403:L409" si="242">AVERAGE(J403/H403*100)</f>
        <v>99.415807560137466</v>
      </c>
    </row>
    <row r="404" spans="1:12" ht="14.25" x14ac:dyDescent="0.2">
      <c r="A404" s="670" t="s">
        <v>661</v>
      </c>
      <c r="B404" s="628"/>
      <c r="C404" s="629">
        <v>4213</v>
      </c>
      <c r="D404" s="618" t="s">
        <v>554</v>
      </c>
      <c r="E404" s="612">
        <v>1472500</v>
      </c>
      <c r="F404" s="612">
        <v>380000</v>
      </c>
      <c r="G404" s="612">
        <f t="shared" ref="G404:G409" si="243">F404/7.5345</f>
        <v>50434.667197557901</v>
      </c>
      <c r="H404" s="612">
        <v>28000</v>
      </c>
      <c r="I404" s="612">
        <v>0</v>
      </c>
      <c r="J404" s="363">
        <f>SUM(H404+I404)</f>
        <v>28000</v>
      </c>
      <c r="K404" s="619">
        <f t="shared" ref="K404:K409" si="244">J404*7.5345</f>
        <v>210966</v>
      </c>
      <c r="L404" s="646">
        <f t="shared" si="242"/>
        <v>100</v>
      </c>
    </row>
    <row r="405" spans="1:12" s="210" customFormat="1" ht="13.5" customHeight="1" x14ac:dyDescent="0.2">
      <c r="A405" s="670" t="s">
        <v>661</v>
      </c>
      <c r="B405" s="628"/>
      <c r="C405" s="629">
        <v>4213</v>
      </c>
      <c r="D405" s="618" t="s">
        <v>635</v>
      </c>
      <c r="E405" s="612"/>
      <c r="F405" s="612"/>
      <c r="G405" s="612"/>
      <c r="H405" s="612">
        <v>32000</v>
      </c>
      <c r="I405" s="612">
        <v>-13450</v>
      </c>
      <c r="J405" s="363">
        <f>SUM(H405+I405)</f>
        <v>18550</v>
      </c>
      <c r="K405" s="619"/>
      <c r="L405" s="646">
        <f t="shared" si="242"/>
        <v>57.96875</v>
      </c>
    </row>
    <row r="406" spans="1:12" ht="14.25" x14ac:dyDescent="0.2">
      <c r="A406" s="670" t="s">
        <v>661</v>
      </c>
      <c r="B406" s="628"/>
      <c r="C406" s="629">
        <v>4213</v>
      </c>
      <c r="D406" s="618" t="s">
        <v>635</v>
      </c>
      <c r="E406" s="612"/>
      <c r="F406" s="612"/>
      <c r="G406" s="612"/>
      <c r="H406" s="612">
        <v>0</v>
      </c>
      <c r="I406" s="612">
        <v>13000</v>
      </c>
      <c r="J406" s="363">
        <f>SUM(H406+I406)</f>
        <v>13000</v>
      </c>
      <c r="K406" s="619"/>
      <c r="L406" s="646" t="e">
        <f t="shared" si="242"/>
        <v>#DIV/0!</v>
      </c>
    </row>
    <row r="407" spans="1:12" ht="14.25" x14ac:dyDescent="0.2">
      <c r="A407" s="670" t="s">
        <v>661</v>
      </c>
      <c r="B407" s="628"/>
      <c r="C407" s="629">
        <v>4213</v>
      </c>
      <c r="D407" s="618" t="s">
        <v>634</v>
      </c>
      <c r="E407" s="612">
        <v>1472500</v>
      </c>
      <c r="F407" s="612">
        <v>285000</v>
      </c>
      <c r="G407" s="612">
        <f t="shared" si="243"/>
        <v>37826.00039816842</v>
      </c>
      <c r="H407" s="612">
        <v>26500</v>
      </c>
      <c r="I407" s="612">
        <v>-100</v>
      </c>
      <c r="J407" s="363">
        <f t="shared" ref="J407:J409" si="245">SUM(H407+I407)</f>
        <v>26400</v>
      </c>
      <c r="K407" s="619">
        <f t="shared" si="244"/>
        <v>198910.80000000002</v>
      </c>
      <c r="L407" s="646">
        <f t="shared" si="242"/>
        <v>99.622641509433961</v>
      </c>
    </row>
    <row r="408" spans="1:12" ht="14.25" x14ac:dyDescent="0.2">
      <c r="A408" s="670" t="s">
        <v>661</v>
      </c>
      <c r="B408" s="628"/>
      <c r="C408" s="629">
        <v>4213</v>
      </c>
      <c r="D408" s="618" t="s">
        <v>474</v>
      </c>
      <c r="E408" s="612">
        <v>1472500</v>
      </c>
      <c r="F408" s="612">
        <v>0</v>
      </c>
      <c r="G408" s="612">
        <f t="shared" ref="G408" si="246">F408/7.5345</f>
        <v>0</v>
      </c>
      <c r="H408" s="612">
        <v>30000</v>
      </c>
      <c r="I408" s="612">
        <v>-250</v>
      </c>
      <c r="J408" s="363">
        <f t="shared" si="245"/>
        <v>29750</v>
      </c>
      <c r="K408" s="619">
        <f t="shared" si="244"/>
        <v>224151.375</v>
      </c>
      <c r="L408" s="646">
        <f t="shared" si="242"/>
        <v>99.166666666666671</v>
      </c>
    </row>
    <row r="409" spans="1:12" s="390" customFormat="1" ht="15" thickBot="1" x14ac:dyDescent="0.25">
      <c r="A409" s="670" t="s">
        <v>661</v>
      </c>
      <c r="B409" s="672"/>
      <c r="C409" s="673">
        <v>4213</v>
      </c>
      <c r="D409" s="674" t="s">
        <v>636</v>
      </c>
      <c r="E409" s="675">
        <v>1472500</v>
      </c>
      <c r="F409" s="675">
        <v>0</v>
      </c>
      <c r="G409" s="675">
        <f t="shared" si="243"/>
        <v>0</v>
      </c>
      <c r="H409" s="675">
        <v>29000</v>
      </c>
      <c r="I409" s="675">
        <v>-13050</v>
      </c>
      <c r="J409" s="430">
        <f t="shared" si="245"/>
        <v>15950</v>
      </c>
      <c r="K409" s="711">
        <f t="shared" si="244"/>
        <v>120175.27500000001</v>
      </c>
      <c r="L409" s="646">
        <f t="shared" si="242"/>
        <v>55.000000000000007</v>
      </c>
    </row>
    <row r="410" spans="1:12" s="97" customFormat="1" ht="17.25" thickTop="1" thickBot="1" x14ac:dyDescent="0.3">
      <c r="A410" s="670" t="s">
        <v>661</v>
      </c>
      <c r="B410" s="672"/>
      <c r="C410" s="673">
        <v>4213</v>
      </c>
      <c r="D410" s="674" t="s">
        <v>636</v>
      </c>
      <c r="E410" s="675">
        <v>1472500</v>
      </c>
      <c r="F410" s="675">
        <v>0</v>
      </c>
      <c r="G410" s="675">
        <f t="shared" ref="G410" si="247">F410/7.5345</f>
        <v>0</v>
      </c>
      <c r="H410" s="675">
        <v>0</v>
      </c>
      <c r="I410" s="675">
        <v>13000</v>
      </c>
      <c r="J410" s="430">
        <f t="shared" ref="J410" si="248">SUM(H410+I410)</f>
        <v>13000</v>
      </c>
      <c r="K410" s="711">
        <f t="shared" ref="K410" si="249">J410*7.5345</f>
        <v>97948.5</v>
      </c>
      <c r="L410" s="646" t="e">
        <f t="shared" ref="L410" si="250">AVERAGE(J410/H410*100)</f>
        <v>#DIV/0!</v>
      </c>
    </row>
    <row r="411" spans="1:12" s="28" customFormat="1" ht="29.25" thickTop="1" x14ac:dyDescent="0.2">
      <c r="A411" s="648"/>
      <c r="B411" s="668"/>
      <c r="C411" s="650"/>
      <c r="D411" s="641" t="s">
        <v>406</v>
      </c>
      <c r="E411" s="651"/>
      <c r="F411" s="614"/>
      <c r="G411" s="614"/>
      <c r="H411" s="614"/>
      <c r="I411" s="614"/>
      <c r="J411" s="614"/>
      <c r="K411" s="642"/>
      <c r="L411" s="849">
        <f>AVERAGE(J413/H413*100)</f>
        <v>9.3333333333333339</v>
      </c>
    </row>
    <row r="412" spans="1:12" ht="14.25" x14ac:dyDescent="0.2">
      <c r="A412" s="648"/>
      <c r="B412" s="668"/>
      <c r="C412" s="650"/>
      <c r="D412" s="661" t="s">
        <v>603</v>
      </c>
      <c r="E412" s="612"/>
      <c r="F412" s="614"/>
      <c r="G412" s="614"/>
      <c r="H412" s="614"/>
      <c r="I412" s="614"/>
      <c r="J412" s="614"/>
      <c r="K412" s="642"/>
      <c r="L412" s="850"/>
    </row>
    <row r="413" spans="1:12" ht="31.5" x14ac:dyDescent="0.25">
      <c r="A413" s="652"/>
      <c r="B413" s="664"/>
      <c r="C413" s="654"/>
      <c r="D413" s="613" t="s">
        <v>468</v>
      </c>
      <c r="E413" s="621">
        <v>300000</v>
      </c>
      <c r="F413" s="599">
        <f t="shared" ref="F413:K414" si="251">SUM(F414)</f>
        <v>200000</v>
      </c>
      <c r="G413" s="599">
        <f t="shared" si="251"/>
        <v>26544.56168292521</v>
      </c>
      <c r="H413" s="599">
        <f t="shared" si="251"/>
        <v>30000</v>
      </c>
      <c r="I413" s="599">
        <f t="shared" si="251"/>
        <v>-27200</v>
      </c>
      <c r="J413" s="599">
        <f t="shared" si="251"/>
        <v>2800</v>
      </c>
      <c r="K413" s="656">
        <f t="shared" si="251"/>
        <v>21096.600000000002</v>
      </c>
      <c r="L413" s="851"/>
    </row>
    <row r="414" spans="1:12" ht="15" x14ac:dyDescent="0.25">
      <c r="A414" s="669" t="s">
        <v>662</v>
      </c>
      <c r="B414" s="623"/>
      <c r="C414" s="624">
        <v>38</v>
      </c>
      <c r="D414" s="625" t="s">
        <v>128</v>
      </c>
      <c r="E414" s="626">
        <v>300000</v>
      </c>
      <c r="F414" s="626">
        <f t="shared" si="251"/>
        <v>200000</v>
      </c>
      <c r="G414" s="626">
        <f t="shared" si="251"/>
        <v>26544.56168292521</v>
      </c>
      <c r="H414" s="626">
        <f t="shared" si="251"/>
        <v>30000</v>
      </c>
      <c r="I414" s="626">
        <f t="shared" si="251"/>
        <v>-27200</v>
      </c>
      <c r="J414" s="626">
        <f t="shared" si="251"/>
        <v>2800</v>
      </c>
      <c r="K414" s="627">
        <f t="shared" si="251"/>
        <v>21096.600000000002</v>
      </c>
      <c r="L414" s="728">
        <f>AVERAGE(J414/H414*100)</f>
        <v>9.3333333333333339</v>
      </c>
    </row>
    <row r="415" spans="1:12" ht="14.25" x14ac:dyDescent="0.2">
      <c r="A415" s="670" t="s">
        <v>662</v>
      </c>
      <c r="B415" s="628"/>
      <c r="C415" s="629">
        <v>386</v>
      </c>
      <c r="D415" s="618" t="s">
        <v>262</v>
      </c>
      <c r="E415" s="612">
        <v>300000</v>
      </c>
      <c r="F415" s="612">
        <f t="shared" ref="F415:J415" si="252">SUM(F416+F417)</f>
        <v>200000</v>
      </c>
      <c r="G415" s="612">
        <f t="shared" si="252"/>
        <v>26544.56168292521</v>
      </c>
      <c r="H415" s="612">
        <f t="shared" si="252"/>
        <v>30000</v>
      </c>
      <c r="I415" s="612">
        <f t="shared" si="252"/>
        <v>-27200</v>
      </c>
      <c r="J415" s="612">
        <f t="shared" si="252"/>
        <v>2800</v>
      </c>
      <c r="K415" s="619">
        <f t="shared" ref="K415" si="253">SUM(K416+K417)</f>
        <v>21096.600000000002</v>
      </c>
      <c r="L415" s="646">
        <f t="shared" ref="L415:L417" si="254">AVERAGE(J415/H415*100)</f>
        <v>9.3333333333333339</v>
      </c>
    </row>
    <row r="416" spans="1:12" ht="28.5" x14ac:dyDescent="0.2">
      <c r="A416" s="676" t="s">
        <v>662</v>
      </c>
      <c r="B416" s="631"/>
      <c r="C416" s="677">
        <v>3861</v>
      </c>
      <c r="D416" s="678" t="s">
        <v>482</v>
      </c>
      <c r="E416" s="679">
        <v>300000</v>
      </c>
      <c r="F416" s="679">
        <v>150000</v>
      </c>
      <c r="G416" s="680">
        <f>F416/7.5345</f>
        <v>19908.421262193908</v>
      </c>
      <c r="H416" s="680">
        <v>20000</v>
      </c>
      <c r="I416" s="680">
        <v>-17200</v>
      </c>
      <c r="J416" s="680">
        <f>SUM(H416+I416)</f>
        <v>2800</v>
      </c>
      <c r="K416" s="681">
        <f>J416*7.5345</f>
        <v>21096.600000000002</v>
      </c>
      <c r="L416" s="646">
        <f t="shared" si="254"/>
        <v>14.000000000000002</v>
      </c>
    </row>
    <row r="417" spans="1:12" ht="29.25" thickBot="1" x14ac:dyDescent="0.25">
      <c r="A417" s="682" t="s">
        <v>662</v>
      </c>
      <c r="B417" s="636"/>
      <c r="C417" s="683">
        <v>3861</v>
      </c>
      <c r="D417" s="684" t="s">
        <v>483</v>
      </c>
      <c r="E417" s="685">
        <v>300000</v>
      </c>
      <c r="F417" s="685">
        <v>50000</v>
      </c>
      <c r="G417" s="685">
        <f>F417/7.5345</f>
        <v>6636.1404207313026</v>
      </c>
      <c r="H417" s="685">
        <v>10000</v>
      </c>
      <c r="I417" s="685">
        <v>-10000</v>
      </c>
      <c r="J417" s="685">
        <f>SUM(H417+I417)</f>
        <v>0</v>
      </c>
      <c r="K417" s="686">
        <f>J417*7.5345</f>
        <v>0</v>
      </c>
      <c r="L417" s="646">
        <f t="shared" si="254"/>
        <v>0</v>
      </c>
    </row>
    <row r="418" spans="1:12" ht="29.25" thickTop="1" x14ac:dyDescent="0.2">
      <c r="A418" s="401"/>
      <c r="B418" s="451"/>
      <c r="C418" s="40"/>
      <c r="D418" s="396" t="s">
        <v>469</v>
      </c>
      <c r="E418" s="373"/>
      <c r="F418" s="372"/>
      <c r="G418" s="372"/>
      <c r="H418" s="372"/>
      <c r="I418" s="372"/>
      <c r="J418" s="372"/>
      <c r="K418" s="526"/>
      <c r="L418" s="843">
        <f>AVERAGE(J420/H420*100)</f>
        <v>21.69230769230769</v>
      </c>
    </row>
    <row r="419" spans="1:12" ht="14.25" x14ac:dyDescent="0.2">
      <c r="A419" s="401"/>
      <c r="B419" s="451"/>
      <c r="C419" s="40"/>
      <c r="D419" s="395" t="s">
        <v>620</v>
      </c>
      <c r="E419" s="363"/>
      <c r="F419" s="372"/>
      <c r="G419" s="372"/>
      <c r="H419" s="372"/>
      <c r="I419" s="372"/>
      <c r="J419" s="372"/>
      <c r="K419" s="526"/>
      <c r="L419" s="844"/>
    </row>
    <row r="420" spans="1:12" s="551" customFormat="1" ht="31.5" x14ac:dyDescent="0.25">
      <c r="A420" s="425"/>
      <c r="B420" s="452"/>
      <c r="C420" s="97"/>
      <c r="D420" s="429" t="s">
        <v>550</v>
      </c>
      <c r="E420" s="426">
        <v>300000</v>
      </c>
      <c r="F420" s="424">
        <f t="shared" ref="F420:K422" si="255">SUM(F421)</f>
        <v>500000</v>
      </c>
      <c r="G420" s="424">
        <f t="shared" si="255"/>
        <v>66361.404207313026</v>
      </c>
      <c r="H420" s="424">
        <f>SUM(H421)</f>
        <v>65000</v>
      </c>
      <c r="I420" s="424">
        <f t="shared" ref="I420:J420" si="256">SUM(I421)</f>
        <v>-50900</v>
      </c>
      <c r="J420" s="424">
        <f t="shared" si="256"/>
        <v>14100</v>
      </c>
      <c r="K420" s="527">
        <f t="shared" si="255"/>
        <v>0</v>
      </c>
      <c r="L420" s="845"/>
    </row>
    <row r="421" spans="1:12" s="28" customFormat="1" ht="15" x14ac:dyDescent="0.25">
      <c r="A421" s="358" t="s">
        <v>663</v>
      </c>
      <c r="B421" s="447"/>
      <c r="C421" s="354">
        <v>42</v>
      </c>
      <c r="D421" s="365" t="s">
        <v>250</v>
      </c>
      <c r="E421" s="362">
        <v>300000</v>
      </c>
      <c r="F421" s="362">
        <f t="shared" si="255"/>
        <v>500000</v>
      </c>
      <c r="G421" s="362">
        <f t="shared" si="255"/>
        <v>66361.404207313026</v>
      </c>
      <c r="H421" s="362">
        <f>SUM(H422+H424)</f>
        <v>65000</v>
      </c>
      <c r="I421" s="362">
        <f t="shared" ref="I421:J421" si="257">SUM(I422+I424)</f>
        <v>-50900</v>
      </c>
      <c r="J421" s="362">
        <f t="shared" si="257"/>
        <v>14100</v>
      </c>
      <c r="K421" s="530">
        <f t="shared" si="255"/>
        <v>0</v>
      </c>
      <c r="L421" s="727">
        <f>AVERAGE(J421/H421*100)</f>
        <v>21.69230769230769</v>
      </c>
    </row>
    <row r="422" spans="1:12" ht="14.25" x14ac:dyDescent="0.2">
      <c r="A422" s="355" t="s">
        <v>663</v>
      </c>
      <c r="B422" s="446"/>
      <c r="C422" s="367">
        <v>421</v>
      </c>
      <c r="D422" s="368" t="s">
        <v>97</v>
      </c>
      <c r="E422" s="363">
        <v>300000</v>
      </c>
      <c r="F422" s="363">
        <f t="shared" si="255"/>
        <v>500000</v>
      </c>
      <c r="G422" s="363">
        <f t="shared" si="255"/>
        <v>66361.404207313026</v>
      </c>
      <c r="H422" s="363">
        <f t="shared" si="255"/>
        <v>39000</v>
      </c>
      <c r="I422" s="363">
        <f t="shared" si="255"/>
        <v>-39000</v>
      </c>
      <c r="J422" s="363">
        <f t="shared" si="255"/>
        <v>0</v>
      </c>
      <c r="K422" s="529">
        <f t="shared" si="255"/>
        <v>0</v>
      </c>
      <c r="L422" s="384">
        <f t="shared" ref="L422:L440" si="258">AVERAGE(J422/H422*100)</f>
        <v>0</v>
      </c>
    </row>
    <row r="423" spans="1:12" ht="21" customHeight="1" x14ac:dyDescent="0.2">
      <c r="A423" s="356" t="s">
        <v>663</v>
      </c>
      <c r="B423" s="453"/>
      <c r="C423" s="399">
        <v>4214</v>
      </c>
      <c r="D423" s="370" t="s">
        <v>251</v>
      </c>
      <c r="E423" s="361">
        <v>300000</v>
      </c>
      <c r="F423" s="361">
        <v>500000</v>
      </c>
      <c r="G423" s="361">
        <f>F423/7.5345</f>
        <v>66361.404207313026</v>
      </c>
      <c r="H423" s="361">
        <v>39000</v>
      </c>
      <c r="I423" s="361">
        <v>-39000</v>
      </c>
      <c r="J423" s="361">
        <f>SUM(H423+I423)</f>
        <v>0</v>
      </c>
      <c r="K423" s="532">
        <f>J423*7.5345</f>
        <v>0</v>
      </c>
      <c r="L423" s="384">
        <f t="shared" si="258"/>
        <v>0</v>
      </c>
    </row>
    <row r="424" spans="1:12" ht="18" customHeight="1" x14ac:dyDescent="0.2">
      <c r="A424" s="355" t="s">
        <v>663</v>
      </c>
      <c r="B424" s="446"/>
      <c r="C424" s="367">
        <v>421</v>
      </c>
      <c r="D424" s="368" t="s">
        <v>97</v>
      </c>
      <c r="E424" s="363"/>
      <c r="F424" s="363"/>
      <c r="G424" s="363"/>
      <c r="H424" s="363">
        <f>SUM(H425)</f>
        <v>26000</v>
      </c>
      <c r="I424" s="363">
        <f t="shared" ref="I424:J424" si="259">SUM(I425)</f>
        <v>-11900</v>
      </c>
      <c r="J424" s="363">
        <f t="shared" si="259"/>
        <v>14100</v>
      </c>
      <c r="K424" s="529"/>
      <c r="L424" s="384">
        <f t="shared" si="258"/>
        <v>54.230769230769226</v>
      </c>
    </row>
    <row r="425" spans="1:12" ht="15" thickBot="1" x14ac:dyDescent="0.25">
      <c r="A425" s="356" t="s">
        <v>663</v>
      </c>
      <c r="B425" s="448"/>
      <c r="C425" s="386">
        <v>4214</v>
      </c>
      <c r="D425" s="387" t="s">
        <v>251</v>
      </c>
      <c r="E425" s="388"/>
      <c r="F425" s="388"/>
      <c r="G425" s="388"/>
      <c r="H425" s="388">
        <v>26000</v>
      </c>
      <c r="I425" s="388">
        <v>-11900</v>
      </c>
      <c r="J425" s="388">
        <f>SUM(H425+I425)</f>
        <v>14100</v>
      </c>
      <c r="K425" s="531"/>
      <c r="L425" s="388">
        <f t="shared" si="258"/>
        <v>54.230769230769226</v>
      </c>
    </row>
    <row r="426" spans="1:12" s="97" customFormat="1" ht="30" thickTop="1" x14ac:dyDescent="0.25">
      <c r="A426" s="116"/>
      <c r="B426" s="359"/>
      <c r="C426" s="610"/>
      <c r="D426" s="609" t="s">
        <v>557</v>
      </c>
      <c r="E426" s="608"/>
      <c r="F426" s="372"/>
      <c r="G426" s="372"/>
      <c r="H426" s="372"/>
      <c r="I426" s="372"/>
      <c r="J426" s="372"/>
      <c r="K426" s="526"/>
      <c r="L426" s="372"/>
    </row>
    <row r="427" spans="1:12" s="28" customFormat="1" ht="14.25" x14ac:dyDescent="0.2">
      <c r="A427" s="116"/>
      <c r="B427" s="359"/>
      <c r="C427" s="610"/>
      <c r="D427" s="609" t="s">
        <v>252</v>
      </c>
      <c r="E427" s="608"/>
      <c r="F427" s="372"/>
      <c r="G427" s="372"/>
      <c r="H427" s="372"/>
      <c r="I427" s="372"/>
      <c r="J427" s="372"/>
      <c r="K427" s="526"/>
      <c r="L427" s="372"/>
    </row>
    <row r="428" spans="1:12" s="390" customFormat="1" ht="30.75" thickBot="1" x14ac:dyDescent="0.3">
      <c r="A428" s="116"/>
      <c r="B428" s="359"/>
      <c r="C428" s="188"/>
      <c r="D428" s="369" t="s">
        <v>558</v>
      </c>
      <c r="E428" s="372"/>
      <c r="F428" s="372"/>
      <c r="G428" s="372"/>
      <c r="H428" s="611">
        <f>SUM(H429)</f>
        <v>0</v>
      </c>
      <c r="I428" s="611">
        <f t="shared" ref="I428:J428" si="260">SUM(I429)</f>
        <v>0</v>
      </c>
      <c r="J428" s="611">
        <f t="shared" si="260"/>
        <v>0</v>
      </c>
      <c r="K428" s="526"/>
      <c r="L428" s="384" t="e">
        <f t="shared" si="258"/>
        <v>#DIV/0!</v>
      </c>
    </row>
    <row r="429" spans="1:12" ht="15.75" thickTop="1" x14ac:dyDescent="0.25">
      <c r="A429" s="364" t="s">
        <v>664</v>
      </c>
      <c r="B429" s="446"/>
      <c r="C429" s="354">
        <v>42</v>
      </c>
      <c r="D429" s="368" t="s">
        <v>250</v>
      </c>
      <c r="E429" s="363"/>
      <c r="F429" s="363"/>
      <c r="G429" s="363"/>
      <c r="H429" s="362">
        <f>SUM(H430+H432)</f>
        <v>0</v>
      </c>
      <c r="I429" s="362">
        <f t="shared" ref="I429:J429" si="261">SUM(I430+I432)</f>
        <v>0</v>
      </c>
      <c r="J429" s="362">
        <f t="shared" si="261"/>
        <v>0</v>
      </c>
      <c r="K429" s="529"/>
      <c r="L429" s="384" t="e">
        <f t="shared" si="258"/>
        <v>#DIV/0!</v>
      </c>
    </row>
    <row r="430" spans="1:12" ht="14.25" x14ac:dyDescent="0.2">
      <c r="A430" s="366" t="s">
        <v>664</v>
      </c>
      <c r="B430" s="446"/>
      <c r="C430" s="367">
        <v>421</v>
      </c>
      <c r="D430" s="368" t="s">
        <v>97</v>
      </c>
      <c r="E430" s="363"/>
      <c r="F430" s="363"/>
      <c r="G430" s="363"/>
      <c r="H430" s="363">
        <f>SUM(H431)</f>
        <v>0</v>
      </c>
      <c r="I430" s="363">
        <f t="shared" ref="I430:J430" si="262">SUM(I431)</f>
        <v>0</v>
      </c>
      <c r="J430" s="363">
        <f t="shared" si="262"/>
        <v>0</v>
      </c>
      <c r="K430" s="529"/>
      <c r="L430" s="384" t="e">
        <f t="shared" si="258"/>
        <v>#DIV/0!</v>
      </c>
    </row>
    <row r="431" spans="1:12" ht="14.25" x14ac:dyDescent="0.2">
      <c r="A431" s="366" t="s">
        <v>664</v>
      </c>
      <c r="B431" s="446"/>
      <c r="C431" s="367">
        <v>4214</v>
      </c>
      <c r="D431" s="368" t="s">
        <v>251</v>
      </c>
      <c r="E431" s="363"/>
      <c r="F431" s="363"/>
      <c r="G431" s="363"/>
      <c r="H431" s="363">
        <v>0</v>
      </c>
      <c r="I431" s="363">
        <v>0</v>
      </c>
      <c r="J431" s="363">
        <f>SUM(H431+I431)</f>
        <v>0</v>
      </c>
      <c r="K431" s="529"/>
      <c r="L431" s="384" t="e">
        <f t="shared" si="258"/>
        <v>#DIV/0!</v>
      </c>
    </row>
    <row r="432" spans="1:12" ht="14.25" x14ac:dyDescent="0.2">
      <c r="A432" s="366" t="s">
        <v>664</v>
      </c>
      <c r="B432" s="446"/>
      <c r="C432" s="367">
        <v>421</v>
      </c>
      <c r="D432" s="368" t="s">
        <v>97</v>
      </c>
      <c r="E432" s="363"/>
      <c r="F432" s="363"/>
      <c r="G432" s="363"/>
      <c r="H432" s="363">
        <f>SUM(H433)</f>
        <v>0</v>
      </c>
      <c r="I432" s="363">
        <f t="shared" ref="I432:J432" si="263">SUM(I433)</f>
        <v>0</v>
      </c>
      <c r="J432" s="363">
        <f t="shared" si="263"/>
        <v>0</v>
      </c>
      <c r="K432" s="529"/>
      <c r="L432" s="384" t="e">
        <f t="shared" si="258"/>
        <v>#DIV/0!</v>
      </c>
    </row>
    <row r="433" spans="1:12" ht="15" thickBot="1" x14ac:dyDescent="0.25">
      <c r="A433" s="600" t="s">
        <v>664</v>
      </c>
      <c r="B433" s="448"/>
      <c r="C433" s="386">
        <v>4214</v>
      </c>
      <c r="D433" s="387" t="s">
        <v>251</v>
      </c>
      <c r="E433" s="388"/>
      <c r="F433" s="388"/>
      <c r="G433" s="388"/>
      <c r="H433" s="388">
        <v>0</v>
      </c>
      <c r="I433" s="388">
        <v>0</v>
      </c>
      <c r="J433" s="388">
        <f>SUM(H433+I433)</f>
        <v>0</v>
      </c>
      <c r="K433" s="531"/>
      <c r="L433" s="384" t="e">
        <f t="shared" ref="L433" si="264">AVERAGE(J433/H433*100)</f>
        <v>#DIV/0!</v>
      </c>
    </row>
    <row r="434" spans="1:12" ht="29.25" thickTop="1" x14ac:dyDescent="0.2">
      <c r="A434" s="648"/>
      <c r="B434" s="668"/>
      <c r="C434" s="650"/>
      <c r="D434" s="641" t="s">
        <v>469</v>
      </c>
      <c r="E434" s="651"/>
      <c r="F434" s="614"/>
      <c r="G434" s="614"/>
      <c r="H434" s="614"/>
      <c r="I434" s="614"/>
      <c r="J434" s="614"/>
      <c r="K434" s="642"/>
      <c r="L434" s="849">
        <f>AVERAGE(J436/H436*100)</f>
        <v>98.484848484848484</v>
      </c>
    </row>
    <row r="435" spans="1:12" ht="14.25" x14ac:dyDescent="0.2">
      <c r="A435" s="648"/>
      <c r="B435" s="668"/>
      <c r="C435" s="650"/>
      <c r="D435" s="661" t="s">
        <v>620</v>
      </c>
      <c r="E435" s="612"/>
      <c r="F435" s="614"/>
      <c r="G435" s="614"/>
      <c r="H435" s="614"/>
      <c r="I435" s="614"/>
      <c r="J435" s="614"/>
      <c r="K435" s="642"/>
      <c r="L435" s="850"/>
    </row>
    <row r="436" spans="1:12" ht="31.5" x14ac:dyDescent="0.25">
      <c r="A436" s="652"/>
      <c r="B436" s="664"/>
      <c r="C436" s="654"/>
      <c r="D436" s="613" t="s">
        <v>638</v>
      </c>
      <c r="E436" s="621">
        <v>300000</v>
      </c>
      <c r="F436" s="599" t="e">
        <f t="shared" ref="F436:K436" si="265">SUM(F437)</f>
        <v>#REF!</v>
      </c>
      <c r="G436" s="599" t="e">
        <f t="shared" si="265"/>
        <v>#REF!</v>
      </c>
      <c r="H436" s="599">
        <f>SUM(H437)</f>
        <v>16500</v>
      </c>
      <c r="I436" s="599">
        <f t="shared" ref="I436:J437" si="266">SUM(I437)</f>
        <v>-250</v>
      </c>
      <c r="J436" s="599">
        <f t="shared" si="266"/>
        <v>16250</v>
      </c>
      <c r="K436" s="656" t="e">
        <f t="shared" si="265"/>
        <v>#REF!</v>
      </c>
      <c r="L436" s="851"/>
    </row>
    <row r="437" spans="1:12" ht="15" x14ac:dyDescent="0.25">
      <c r="A437" s="669" t="s">
        <v>665</v>
      </c>
      <c r="B437" s="623"/>
      <c r="C437" s="624">
        <v>42</v>
      </c>
      <c r="D437" s="625" t="s">
        <v>250</v>
      </c>
      <c r="E437" s="626">
        <v>300000</v>
      </c>
      <c r="F437" s="626" t="e">
        <f>SUM(#REF!)</f>
        <v>#REF!</v>
      </c>
      <c r="G437" s="626" t="e">
        <f>SUM(#REF!)</f>
        <v>#REF!</v>
      </c>
      <c r="H437" s="626">
        <f>SUM(H438)</f>
        <v>16500</v>
      </c>
      <c r="I437" s="626">
        <f t="shared" si="266"/>
        <v>-250</v>
      </c>
      <c r="J437" s="626">
        <f t="shared" si="266"/>
        <v>16250</v>
      </c>
      <c r="K437" s="627" t="e">
        <f>SUM(#REF!)</f>
        <v>#REF!</v>
      </c>
      <c r="L437" s="728">
        <f>AVERAGE(J437/H437*100)</f>
        <v>98.484848484848484</v>
      </c>
    </row>
    <row r="438" spans="1:12" s="97" customFormat="1" ht="15.75" x14ac:dyDescent="0.25">
      <c r="A438" s="620" t="s">
        <v>665</v>
      </c>
      <c r="B438" s="628"/>
      <c r="C438" s="629">
        <v>421</v>
      </c>
      <c r="D438" s="618" t="s">
        <v>97</v>
      </c>
      <c r="E438" s="612"/>
      <c r="F438" s="612"/>
      <c r="G438" s="612"/>
      <c r="H438" s="612">
        <f>SUM(H439)</f>
        <v>16500</v>
      </c>
      <c r="I438" s="612">
        <f t="shared" ref="I438" si="267">SUM(I439)</f>
        <v>-250</v>
      </c>
      <c r="J438" s="612">
        <f t="shared" ref="J438" si="268">SUM(J439)</f>
        <v>16250</v>
      </c>
      <c r="K438" s="619"/>
      <c r="L438" s="646">
        <f t="shared" ref="L438:L439" si="269">AVERAGE(J438/H438*100)</f>
        <v>98.484848484848484</v>
      </c>
    </row>
    <row r="439" spans="1:12" s="28" customFormat="1" ht="20.25" customHeight="1" thickBot="1" x14ac:dyDescent="0.25">
      <c r="A439" s="671" t="s">
        <v>665</v>
      </c>
      <c r="B439" s="636"/>
      <c r="C439" s="637">
        <v>4214</v>
      </c>
      <c r="D439" s="638" t="s">
        <v>251</v>
      </c>
      <c r="E439" s="639"/>
      <c r="F439" s="639"/>
      <c r="G439" s="639"/>
      <c r="H439" s="639">
        <v>16500</v>
      </c>
      <c r="I439" s="639">
        <v>-250</v>
      </c>
      <c r="J439" s="639">
        <f>SUM(H439+I439)</f>
        <v>16250</v>
      </c>
      <c r="K439" s="640"/>
      <c r="L439" s="639">
        <f t="shared" si="269"/>
        <v>98.484848484848484</v>
      </c>
    </row>
    <row r="440" spans="1:12" s="390" customFormat="1" ht="19.5" thickTop="1" thickBot="1" x14ac:dyDescent="0.25">
      <c r="A440" s="863" t="s">
        <v>584</v>
      </c>
      <c r="B440" s="864"/>
      <c r="C440" s="864"/>
      <c r="D440" s="865"/>
      <c r="E440" s="603" t="e">
        <f>SUM(E449+#REF!+E457+E463+E475+E486+#REF!+E493+#REF!+E500)</f>
        <v>#REF!</v>
      </c>
      <c r="F440" s="603" t="e">
        <f>SUM(F449+F457+F463+F475+F486+#REF!+F493+#REF!+F500+#REF!+F513+F538)</f>
        <v>#REF!</v>
      </c>
      <c r="G440" s="603" t="e">
        <f>SUM(G449+G457+G463+G475+G486+#REF!+G493+#REF!+G500+#REF!+G513+G538)</f>
        <v>#REF!</v>
      </c>
      <c r="H440" s="603">
        <f>SUM(H446+H449+H457+H463+H469+H475+H486+H493+H500+H506+H513+H538+H546+H553+H561)</f>
        <v>1693360</v>
      </c>
      <c r="I440" s="603">
        <f>SUM(I446+I449+I457+I463+I469+I475+I486+I493+I500+I506+I513+I538+I546+I553+I561)</f>
        <v>69575</v>
      </c>
      <c r="J440" s="603">
        <f>SUM(J446+J449+J457+J463+J469+J475+J486+J493+J500+J506+J513+J538+J546+J553+J561)</f>
        <v>1762935</v>
      </c>
      <c r="K440" s="604" t="e">
        <f>SUM(K449+K457+K463+K475+K486+#REF!+K493+#REF!+K500+#REF!+K513+K538)</f>
        <v>#REF!</v>
      </c>
      <c r="L440" s="603">
        <f t="shared" si="258"/>
        <v>104.10869513865923</v>
      </c>
    </row>
    <row r="441" spans="1:12" ht="28.5" x14ac:dyDescent="0.2">
      <c r="A441" s="401"/>
      <c r="B441" s="40"/>
      <c r="C441" s="40"/>
      <c r="D441" s="396" t="s">
        <v>469</v>
      </c>
      <c r="E441" s="373"/>
      <c r="F441" s="372"/>
      <c r="G441" s="372"/>
      <c r="H441" s="372"/>
      <c r="I441" s="372"/>
      <c r="J441" s="372"/>
      <c r="K441" s="526"/>
      <c r="L441" s="862">
        <f>AVERAGE(J443/H443*100)</f>
        <v>135</v>
      </c>
    </row>
    <row r="442" spans="1:12" ht="14.25" x14ac:dyDescent="0.2">
      <c r="A442" s="401"/>
      <c r="B442" s="40"/>
      <c r="C442" s="40"/>
      <c r="D442" s="395" t="s">
        <v>614</v>
      </c>
      <c r="E442" s="363"/>
      <c r="F442" s="372"/>
      <c r="G442" s="372"/>
      <c r="H442" s="372"/>
      <c r="I442" s="372"/>
      <c r="J442" s="372"/>
      <c r="K442" s="526"/>
      <c r="L442" s="844"/>
    </row>
    <row r="443" spans="1:12" s="97" customFormat="1" ht="31.5" x14ac:dyDescent="0.25">
      <c r="A443" s="425"/>
      <c r="D443" s="429" t="s">
        <v>637</v>
      </c>
      <c r="E443" s="426">
        <v>120000</v>
      </c>
      <c r="F443" s="424">
        <f t="shared" ref="F443:K445" si="270">SUM(F444)</f>
        <v>100000</v>
      </c>
      <c r="G443" s="424">
        <f t="shared" si="270"/>
        <v>13272.280841462605</v>
      </c>
      <c r="H443" s="424">
        <f t="shared" si="270"/>
        <v>100000</v>
      </c>
      <c r="I443" s="424">
        <f t="shared" si="270"/>
        <v>35000</v>
      </c>
      <c r="J443" s="424">
        <f t="shared" si="270"/>
        <v>135000</v>
      </c>
      <c r="K443" s="527">
        <f t="shared" si="270"/>
        <v>1017157.5</v>
      </c>
      <c r="L443" s="845"/>
    </row>
    <row r="444" spans="1:12" s="28" customFormat="1" ht="15" x14ac:dyDescent="0.25">
      <c r="A444" s="358" t="s">
        <v>666</v>
      </c>
      <c r="B444" s="447"/>
      <c r="C444" s="354">
        <v>41</v>
      </c>
      <c r="D444" s="365" t="s">
        <v>248</v>
      </c>
      <c r="E444" s="362">
        <v>120000</v>
      </c>
      <c r="F444" s="362">
        <f t="shared" si="270"/>
        <v>100000</v>
      </c>
      <c r="G444" s="362">
        <f t="shared" si="270"/>
        <v>13272.280841462605</v>
      </c>
      <c r="H444" s="362">
        <f t="shared" si="270"/>
        <v>100000</v>
      </c>
      <c r="I444" s="362">
        <f t="shared" si="270"/>
        <v>35000</v>
      </c>
      <c r="J444" s="362">
        <f t="shared" si="270"/>
        <v>135000</v>
      </c>
      <c r="K444" s="530">
        <f t="shared" si="270"/>
        <v>1017157.5</v>
      </c>
      <c r="L444" s="727">
        <f>AVERAGE(J444/H444*100)</f>
        <v>135</v>
      </c>
    </row>
    <row r="445" spans="1:12" ht="14.25" x14ac:dyDescent="0.2">
      <c r="A445" s="355" t="s">
        <v>666</v>
      </c>
      <c r="B445" s="446"/>
      <c r="C445" s="367">
        <v>411</v>
      </c>
      <c r="D445" s="368" t="s">
        <v>95</v>
      </c>
      <c r="E445" s="363">
        <v>120000</v>
      </c>
      <c r="F445" s="363">
        <f t="shared" si="270"/>
        <v>100000</v>
      </c>
      <c r="G445" s="363">
        <f t="shared" si="270"/>
        <v>13272.280841462605</v>
      </c>
      <c r="H445" s="363">
        <f t="shared" si="270"/>
        <v>100000</v>
      </c>
      <c r="I445" s="363">
        <f t="shared" si="270"/>
        <v>35000</v>
      </c>
      <c r="J445" s="363">
        <f t="shared" si="270"/>
        <v>135000</v>
      </c>
      <c r="K445" s="529">
        <f t="shared" si="270"/>
        <v>1017157.5</v>
      </c>
      <c r="L445" s="384">
        <f t="shared" ref="L445:L446" si="271">AVERAGE(J445/H445*100)</f>
        <v>135</v>
      </c>
    </row>
    <row r="446" spans="1:12" s="390" customFormat="1" ht="15" thickBot="1" x14ac:dyDescent="0.25">
      <c r="A446" s="404" t="s">
        <v>666</v>
      </c>
      <c r="B446" s="448"/>
      <c r="C446" s="386">
        <v>4111</v>
      </c>
      <c r="D446" s="387" t="s">
        <v>40</v>
      </c>
      <c r="E446" s="388">
        <v>120000</v>
      </c>
      <c r="F446" s="388">
        <v>100000</v>
      </c>
      <c r="G446" s="388">
        <f>F446/7.5345</f>
        <v>13272.280841462605</v>
      </c>
      <c r="H446" s="388">
        <v>100000</v>
      </c>
      <c r="I446" s="388">
        <v>35000</v>
      </c>
      <c r="J446" s="388">
        <f>SUM(H446+I446)</f>
        <v>135000</v>
      </c>
      <c r="K446" s="531">
        <f>J446*7.5345</f>
        <v>1017157.5</v>
      </c>
      <c r="L446" s="384">
        <f t="shared" si="271"/>
        <v>135</v>
      </c>
    </row>
    <row r="447" spans="1:12" s="28" customFormat="1" ht="29.25" thickTop="1" x14ac:dyDescent="0.2">
      <c r="A447" s="401"/>
      <c r="B447" s="40"/>
      <c r="C447" s="40"/>
      <c r="D447" s="396" t="s">
        <v>406</v>
      </c>
      <c r="E447" s="373"/>
      <c r="F447" s="372"/>
      <c r="G447" s="372"/>
      <c r="H447" s="372"/>
      <c r="I447" s="372"/>
      <c r="J447" s="372"/>
      <c r="K447" s="526"/>
      <c r="L447" s="862">
        <f>AVERAGE(J449/H449*100)</f>
        <v>104.08333333333333</v>
      </c>
    </row>
    <row r="448" spans="1:12" ht="14.25" x14ac:dyDescent="0.2">
      <c r="A448" s="401"/>
      <c r="B448" s="40"/>
      <c r="C448" s="40"/>
      <c r="D448" s="396" t="s">
        <v>614</v>
      </c>
      <c r="E448" s="363"/>
      <c r="F448" s="372"/>
      <c r="G448" s="372"/>
      <c r="H448" s="372"/>
      <c r="I448" s="372"/>
      <c r="J448" s="372"/>
      <c r="K448" s="526"/>
      <c r="L448" s="844"/>
    </row>
    <row r="449" spans="1:12" ht="15.75" x14ac:dyDescent="0.25">
      <c r="A449" s="425"/>
      <c r="B449" s="97"/>
      <c r="C449" s="97"/>
      <c r="D449" s="429" t="s">
        <v>673</v>
      </c>
      <c r="E449" s="426">
        <v>247000</v>
      </c>
      <c r="F449" s="424">
        <f t="shared" ref="F449:K449" si="272">SUM(F450)</f>
        <v>230000</v>
      </c>
      <c r="G449" s="424">
        <f t="shared" si="272"/>
        <v>30526.245935363993</v>
      </c>
      <c r="H449" s="424">
        <f t="shared" si="272"/>
        <v>60000</v>
      </c>
      <c r="I449" s="424">
        <f t="shared" si="272"/>
        <v>2450</v>
      </c>
      <c r="J449" s="424">
        <f t="shared" si="272"/>
        <v>62450</v>
      </c>
      <c r="K449" s="527">
        <f t="shared" si="272"/>
        <v>470529.52500000002</v>
      </c>
      <c r="L449" s="845"/>
    </row>
    <row r="450" spans="1:12" ht="15" x14ac:dyDescent="0.25">
      <c r="A450" s="358" t="s">
        <v>667</v>
      </c>
      <c r="B450" s="447"/>
      <c r="C450" s="354">
        <v>32</v>
      </c>
      <c r="D450" s="365" t="s">
        <v>47</v>
      </c>
      <c r="E450" s="362">
        <v>247000</v>
      </c>
      <c r="F450" s="362">
        <f t="shared" ref="F450:K450" si="273">SUM(F451+F453)</f>
        <v>230000</v>
      </c>
      <c r="G450" s="362">
        <f t="shared" si="273"/>
        <v>30526.245935363993</v>
      </c>
      <c r="H450" s="362">
        <f t="shared" si="273"/>
        <v>60000</v>
      </c>
      <c r="I450" s="362">
        <f t="shared" si="273"/>
        <v>2450</v>
      </c>
      <c r="J450" s="362">
        <f t="shared" si="273"/>
        <v>62450</v>
      </c>
      <c r="K450" s="530">
        <f t="shared" si="273"/>
        <v>470529.52500000002</v>
      </c>
      <c r="L450" s="727">
        <f>AVERAGE(J450/H450*100)</f>
        <v>104.08333333333333</v>
      </c>
    </row>
    <row r="451" spans="1:12" ht="14.25" x14ac:dyDescent="0.2">
      <c r="A451" s="355" t="s">
        <v>667</v>
      </c>
      <c r="B451" s="446"/>
      <c r="C451" s="367">
        <v>322</v>
      </c>
      <c r="D451" s="368" t="s">
        <v>52</v>
      </c>
      <c r="E451" s="363">
        <v>30000</v>
      </c>
      <c r="F451" s="363">
        <f t="shared" ref="F451:K451" si="274">SUM(F452)</f>
        <v>30000</v>
      </c>
      <c r="G451" s="363">
        <f t="shared" si="274"/>
        <v>3981.6842524387812</v>
      </c>
      <c r="H451" s="363">
        <f t="shared" si="274"/>
        <v>2000</v>
      </c>
      <c r="I451" s="363">
        <f t="shared" si="274"/>
        <v>-2000</v>
      </c>
      <c r="J451" s="363">
        <f t="shared" si="274"/>
        <v>0</v>
      </c>
      <c r="K451" s="529">
        <f t="shared" si="274"/>
        <v>0</v>
      </c>
      <c r="L451" s="384">
        <f t="shared" ref="L451:L454" si="275">AVERAGE(J451/H451*100)</f>
        <v>0</v>
      </c>
    </row>
    <row r="452" spans="1:12" s="589" customFormat="1" ht="16.5" thickBot="1" x14ac:dyDescent="0.3">
      <c r="A452" s="355" t="s">
        <v>667</v>
      </c>
      <c r="B452" s="446"/>
      <c r="C452" s="367">
        <v>3224</v>
      </c>
      <c r="D452" s="368" t="s">
        <v>189</v>
      </c>
      <c r="E452" s="363">
        <v>30000</v>
      </c>
      <c r="F452" s="363">
        <v>30000</v>
      </c>
      <c r="G452" s="363">
        <f>F452/7.5345</f>
        <v>3981.6842524387812</v>
      </c>
      <c r="H452" s="363">
        <v>2000</v>
      </c>
      <c r="I452" s="363">
        <v>-2000</v>
      </c>
      <c r="J452" s="363">
        <f>SUM(H452+I452)</f>
        <v>0</v>
      </c>
      <c r="K452" s="529">
        <f>J452*7.5345</f>
        <v>0</v>
      </c>
      <c r="L452" s="384">
        <f t="shared" si="275"/>
        <v>0</v>
      </c>
    </row>
    <row r="453" spans="1:12" s="28" customFormat="1" ht="15" thickTop="1" x14ac:dyDescent="0.2">
      <c r="A453" s="355" t="s">
        <v>667</v>
      </c>
      <c r="B453" s="446"/>
      <c r="C453" s="367">
        <v>323</v>
      </c>
      <c r="D453" s="368" t="s">
        <v>56</v>
      </c>
      <c r="E453" s="363">
        <v>217000</v>
      </c>
      <c r="F453" s="363">
        <f t="shared" ref="F453:K453" si="276">SUM(F454)</f>
        <v>200000</v>
      </c>
      <c r="G453" s="363">
        <f t="shared" si="276"/>
        <v>26544.56168292521</v>
      </c>
      <c r="H453" s="363">
        <f t="shared" si="276"/>
        <v>58000</v>
      </c>
      <c r="I453" s="363">
        <f t="shared" si="276"/>
        <v>4450</v>
      </c>
      <c r="J453" s="363">
        <f t="shared" si="276"/>
        <v>62450</v>
      </c>
      <c r="K453" s="363">
        <f t="shared" si="276"/>
        <v>470529.52500000002</v>
      </c>
      <c r="L453" s="384">
        <f t="shared" si="275"/>
        <v>107.67241379310344</v>
      </c>
    </row>
    <row r="454" spans="1:12" ht="15" thickBot="1" x14ac:dyDescent="0.25">
      <c r="A454" s="355" t="s">
        <v>667</v>
      </c>
      <c r="B454" s="448"/>
      <c r="C454" s="386">
        <v>3232</v>
      </c>
      <c r="D454" s="387" t="s">
        <v>242</v>
      </c>
      <c r="E454" s="388">
        <v>217000</v>
      </c>
      <c r="F454" s="388">
        <v>200000</v>
      </c>
      <c r="G454" s="388">
        <f>F454/7.5345</f>
        <v>26544.56168292521</v>
      </c>
      <c r="H454" s="388">
        <v>58000</v>
      </c>
      <c r="I454" s="388">
        <v>4450</v>
      </c>
      <c r="J454" s="388">
        <f>SUM(H454+I454)</f>
        <v>62450</v>
      </c>
      <c r="K454" s="531">
        <f>J454*7.5345</f>
        <v>470529.52500000002</v>
      </c>
      <c r="L454" s="384">
        <f t="shared" si="275"/>
        <v>107.67241379310344</v>
      </c>
    </row>
    <row r="455" spans="1:12" ht="29.25" thickTop="1" x14ac:dyDescent="0.2">
      <c r="A455" s="401"/>
      <c r="B455" s="451"/>
      <c r="C455" s="40"/>
      <c r="D455" s="396" t="s">
        <v>406</v>
      </c>
      <c r="E455" s="373"/>
      <c r="F455" s="372"/>
      <c r="G455" s="372"/>
      <c r="H455" s="372"/>
      <c r="I455" s="372"/>
      <c r="J455" s="372"/>
      <c r="K455" s="526"/>
      <c r="L455" s="856" t="e">
        <f>AVERAGE(I457/H457*100)</f>
        <v>#DIV/0!</v>
      </c>
    </row>
    <row r="456" spans="1:12" s="28" customFormat="1" ht="14.25" x14ac:dyDescent="0.2">
      <c r="A456" s="401"/>
      <c r="B456" s="451"/>
      <c r="C456" s="40"/>
      <c r="D456" s="396" t="s">
        <v>254</v>
      </c>
      <c r="E456" s="363"/>
      <c r="F456" s="372"/>
      <c r="G456" s="372"/>
      <c r="H456" s="372"/>
      <c r="I456" s="372"/>
      <c r="J456" s="372"/>
      <c r="K456" s="526"/>
      <c r="L456" s="857"/>
    </row>
    <row r="457" spans="1:12" ht="31.5" x14ac:dyDescent="0.25">
      <c r="A457" s="425"/>
      <c r="B457" s="452"/>
      <c r="C457" s="97"/>
      <c r="D457" s="429" t="s">
        <v>674</v>
      </c>
      <c r="E457" s="426">
        <v>760000</v>
      </c>
      <c r="F457" s="424">
        <f t="shared" ref="F457:K459" si="277">SUM(F458)</f>
        <v>500000</v>
      </c>
      <c r="G457" s="424">
        <f t="shared" si="277"/>
        <v>66361.404207313026</v>
      </c>
      <c r="H457" s="424">
        <f t="shared" si="277"/>
        <v>0</v>
      </c>
      <c r="I457" s="424">
        <f t="shared" si="277"/>
        <v>0</v>
      </c>
      <c r="J457" s="424">
        <f t="shared" si="277"/>
        <v>0</v>
      </c>
      <c r="K457" s="527">
        <f t="shared" si="277"/>
        <v>0</v>
      </c>
      <c r="L457" s="858"/>
    </row>
    <row r="458" spans="1:12" ht="15" x14ac:dyDescent="0.25">
      <c r="A458" s="358" t="s">
        <v>668</v>
      </c>
      <c r="B458" s="447"/>
      <c r="C458" s="354">
        <v>42</v>
      </c>
      <c r="D458" s="365" t="s">
        <v>250</v>
      </c>
      <c r="E458" s="362">
        <v>760000</v>
      </c>
      <c r="F458" s="362">
        <f t="shared" si="277"/>
        <v>500000</v>
      </c>
      <c r="G458" s="362">
        <f t="shared" si="277"/>
        <v>66361.404207313026</v>
      </c>
      <c r="H458" s="362">
        <f t="shared" si="277"/>
        <v>0</v>
      </c>
      <c r="I458" s="362">
        <f t="shared" si="277"/>
        <v>0</v>
      </c>
      <c r="J458" s="362">
        <f t="shared" si="277"/>
        <v>0</v>
      </c>
      <c r="K458" s="530">
        <f t="shared" si="277"/>
        <v>0</v>
      </c>
      <c r="L458" s="384" t="e">
        <f>AVERAGE(I458/H458*100)</f>
        <v>#DIV/0!</v>
      </c>
    </row>
    <row r="459" spans="1:12" ht="14.25" x14ac:dyDescent="0.2">
      <c r="A459" s="355" t="s">
        <v>668</v>
      </c>
      <c r="B459" s="446"/>
      <c r="C459" s="367">
        <v>421</v>
      </c>
      <c r="D459" s="368" t="s">
        <v>97</v>
      </c>
      <c r="E459" s="363">
        <v>760000</v>
      </c>
      <c r="F459" s="363">
        <f t="shared" si="277"/>
        <v>500000</v>
      </c>
      <c r="G459" s="363">
        <f t="shared" si="277"/>
        <v>66361.404207313026</v>
      </c>
      <c r="H459" s="363">
        <f t="shared" si="277"/>
        <v>0</v>
      </c>
      <c r="I459" s="363">
        <f t="shared" si="277"/>
        <v>0</v>
      </c>
      <c r="J459" s="363">
        <f t="shared" si="277"/>
        <v>0</v>
      </c>
      <c r="K459" s="529">
        <f t="shared" si="277"/>
        <v>0</v>
      </c>
      <c r="L459" s="384" t="e">
        <f>AVERAGE(I459/H459*100)</f>
        <v>#DIV/0!</v>
      </c>
    </row>
    <row r="460" spans="1:12" ht="15" thickBot="1" x14ac:dyDescent="0.25">
      <c r="A460" s="404" t="s">
        <v>668</v>
      </c>
      <c r="B460" s="448"/>
      <c r="C460" s="386">
        <v>4214</v>
      </c>
      <c r="D460" s="387" t="s">
        <v>119</v>
      </c>
      <c r="E460" s="388">
        <v>760000</v>
      </c>
      <c r="F460" s="388">
        <v>500000</v>
      </c>
      <c r="G460" s="388">
        <f>F460/7.5345</f>
        <v>66361.404207313026</v>
      </c>
      <c r="H460" s="388">
        <v>0</v>
      </c>
      <c r="I460" s="388">
        <v>0</v>
      </c>
      <c r="J460" s="388">
        <v>0</v>
      </c>
      <c r="K460" s="531">
        <f>J460*7.5345</f>
        <v>0</v>
      </c>
      <c r="L460" s="438" t="e">
        <f>AVERAGE(I460/H460*100)</f>
        <v>#DIV/0!</v>
      </c>
    </row>
    <row r="461" spans="1:12" s="97" customFormat="1" ht="30" thickTop="1" x14ac:dyDescent="0.25">
      <c r="A461" s="401"/>
      <c r="B461" s="451"/>
      <c r="C461" s="40"/>
      <c r="D461" s="396" t="s">
        <v>406</v>
      </c>
      <c r="E461" s="373"/>
      <c r="F461" s="372"/>
      <c r="G461" s="372"/>
      <c r="H461" s="372"/>
      <c r="I461" s="372"/>
      <c r="J461" s="372"/>
      <c r="K461" s="526"/>
      <c r="L461" s="843">
        <f>AVERAGE(J463/H463*100)</f>
        <v>370</v>
      </c>
    </row>
    <row r="462" spans="1:12" s="28" customFormat="1" ht="14.25" x14ac:dyDescent="0.2">
      <c r="A462" s="401"/>
      <c r="B462" s="451"/>
      <c r="C462" s="40"/>
      <c r="D462" s="396" t="s">
        <v>621</v>
      </c>
      <c r="E462" s="363"/>
      <c r="F462" s="372"/>
      <c r="G462" s="372"/>
      <c r="H462" s="372"/>
      <c r="I462" s="372"/>
      <c r="J462" s="372"/>
      <c r="K462" s="526"/>
      <c r="L462" s="844"/>
    </row>
    <row r="463" spans="1:12" ht="15.75" x14ac:dyDescent="0.25">
      <c r="A463" s="425"/>
      <c r="B463" s="452"/>
      <c r="C463" s="97"/>
      <c r="D463" s="429" t="s">
        <v>675</v>
      </c>
      <c r="E463" s="426">
        <v>256000</v>
      </c>
      <c r="F463" s="424">
        <f t="shared" ref="F463:K465" si="278">SUM(F464)</f>
        <v>150000</v>
      </c>
      <c r="G463" s="424">
        <f t="shared" si="278"/>
        <v>19908.421262193908</v>
      </c>
      <c r="H463" s="424">
        <f t="shared" si="278"/>
        <v>5000</v>
      </c>
      <c r="I463" s="424">
        <f t="shared" si="278"/>
        <v>13500</v>
      </c>
      <c r="J463" s="424">
        <f t="shared" si="278"/>
        <v>18500</v>
      </c>
      <c r="K463" s="527">
        <f t="shared" si="278"/>
        <v>139388.25</v>
      </c>
      <c r="L463" s="845"/>
    </row>
    <row r="464" spans="1:12" s="211" customFormat="1" ht="15" x14ac:dyDescent="0.25">
      <c r="A464" s="358" t="s">
        <v>462</v>
      </c>
      <c r="B464" s="447"/>
      <c r="C464" s="354">
        <v>42</v>
      </c>
      <c r="D464" s="365" t="s">
        <v>250</v>
      </c>
      <c r="E464" s="362">
        <v>256000</v>
      </c>
      <c r="F464" s="362">
        <f t="shared" si="278"/>
        <v>150000</v>
      </c>
      <c r="G464" s="362">
        <f t="shared" si="278"/>
        <v>19908.421262193908</v>
      </c>
      <c r="H464" s="362">
        <f t="shared" si="278"/>
        <v>5000</v>
      </c>
      <c r="I464" s="362">
        <f t="shared" si="278"/>
        <v>13500</v>
      </c>
      <c r="J464" s="362">
        <f t="shared" si="278"/>
        <v>18500</v>
      </c>
      <c r="K464" s="530">
        <f t="shared" si="278"/>
        <v>139388.25</v>
      </c>
      <c r="L464" s="727">
        <f>AVERAGE(J464/H464*100)</f>
        <v>370</v>
      </c>
    </row>
    <row r="465" spans="1:12" s="116" customFormat="1" ht="14.25" x14ac:dyDescent="0.2">
      <c r="A465" s="355" t="s">
        <v>462</v>
      </c>
      <c r="B465" s="446"/>
      <c r="C465" s="367">
        <v>421</v>
      </c>
      <c r="D465" s="368" t="s">
        <v>97</v>
      </c>
      <c r="E465" s="363">
        <v>256000</v>
      </c>
      <c r="F465" s="363">
        <f t="shared" si="278"/>
        <v>150000</v>
      </c>
      <c r="G465" s="363">
        <f t="shared" si="278"/>
        <v>19908.421262193908</v>
      </c>
      <c r="H465" s="363">
        <f t="shared" si="278"/>
        <v>5000</v>
      </c>
      <c r="I465" s="363">
        <f t="shared" si="278"/>
        <v>13500</v>
      </c>
      <c r="J465" s="363">
        <f t="shared" si="278"/>
        <v>18500</v>
      </c>
      <c r="K465" s="529">
        <f t="shared" si="278"/>
        <v>139388.25</v>
      </c>
      <c r="L465" s="384">
        <f t="shared" ref="L465:L466" si="279">AVERAGE(J465/H465*100)</f>
        <v>370</v>
      </c>
    </row>
    <row r="466" spans="1:12" s="590" customFormat="1" ht="15.75" thickBot="1" x14ac:dyDescent="0.3">
      <c r="A466" s="404" t="s">
        <v>462</v>
      </c>
      <c r="B466" s="448"/>
      <c r="C466" s="386">
        <v>4214</v>
      </c>
      <c r="D466" s="387" t="s">
        <v>251</v>
      </c>
      <c r="E466" s="388">
        <v>256000</v>
      </c>
      <c r="F466" s="388">
        <v>150000</v>
      </c>
      <c r="G466" s="388">
        <f>F466/7.5345</f>
        <v>19908.421262193908</v>
      </c>
      <c r="H466" s="388">
        <v>5000</v>
      </c>
      <c r="I466" s="388">
        <v>13500</v>
      </c>
      <c r="J466" s="388">
        <f>SUM(H466+I466)</f>
        <v>18500</v>
      </c>
      <c r="K466" s="531">
        <f>J466*7.5345</f>
        <v>139388.25</v>
      </c>
      <c r="L466" s="384">
        <f t="shared" si="279"/>
        <v>370</v>
      </c>
    </row>
    <row r="467" spans="1:12" ht="29.25" thickTop="1" x14ac:dyDescent="0.2">
      <c r="A467" s="401"/>
      <c r="B467" s="451"/>
      <c r="C467" s="40"/>
      <c r="D467" s="396" t="s">
        <v>406</v>
      </c>
      <c r="E467" s="373"/>
      <c r="F467" s="372"/>
      <c r="G467" s="372"/>
      <c r="H467" s="372"/>
      <c r="I467" s="372"/>
      <c r="J467" s="372"/>
      <c r="K467" s="526"/>
      <c r="L467" s="843" t="e">
        <f>AVERAGE(J469/H469*100)</f>
        <v>#DIV/0!</v>
      </c>
    </row>
    <row r="468" spans="1:12" ht="14.25" x14ac:dyDescent="0.2">
      <c r="A468" s="401"/>
      <c r="B468" s="451"/>
      <c r="C468" s="40"/>
      <c r="D468" s="396" t="s">
        <v>622</v>
      </c>
      <c r="E468" s="363"/>
      <c r="F468" s="372"/>
      <c r="G468" s="372"/>
      <c r="H468" s="372"/>
      <c r="I468" s="372"/>
      <c r="J468" s="372"/>
      <c r="K468" s="526"/>
      <c r="L468" s="844"/>
    </row>
    <row r="469" spans="1:12" ht="31.5" x14ac:dyDescent="0.25">
      <c r="A469" s="425"/>
      <c r="B469" s="452"/>
      <c r="C469" s="97"/>
      <c r="D469" s="429" t="s">
        <v>676</v>
      </c>
      <c r="E469" s="426">
        <v>256000</v>
      </c>
      <c r="F469" s="424">
        <f t="shared" ref="F469:K471" si="280">SUM(F470)</f>
        <v>150000</v>
      </c>
      <c r="G469" s="424">
        <f t="shared" si="280"/>
        <v>19908.421262193908</v>
      </c>
      <c r="H469" s="424">
        <f t="shared" si="280"/>
        <v>0</v>
      </c>
      <c r="I469" s="424">
        <f t="shared" si="280"/>
        <v>0</v>
      </c>
      <c r="J469" s="424">
        <f t="shared" si="280"/>
        <v>0</v>
      </c>
      <c r="K469" s="527">
        <f t="shared" si="280"/>
        <v>0</v>
      </c>
      <c r="L469" s="845"/>
    </row>
    <row r="470" spans="1:12" s="97" customFormat="1" ht="15.75" x14ac:dyDescent="0.25">
      <c r="A470" s="358" t="s">
        <v>669</v>
      </c>
      <c r="B470" s="447"/>
      <c r="C470" s="354">
        <v>42</v>
      </c>
      <c r="D470" s="365" t="s">
        <v>250</v>
      </c>
      <c r="E470" s="362">
        <v>256000</v>
      </c>
      <c r="F470" s="362">
        <f t="shared" si="280"/>
        <v>150000</v>
      </c>
      <c r="G470" s="362">
        <f t="shared" si="280"/>
        <v>19908.421262193908</v>
      </c>
      <c r="H470" s="362">
        <f t="shared" si="280"/>
        <v>0</v>
      </c>
      <c r="I470" s="362">
        <f t="shared" si="280"/>
        <v>0</v>
      </c>
      <c r="J470" s="362">
        <f t="shared" si="280"/>
        <v>0</v>
      </c>
      <c r="K470" s="530">
        <f t="shared" si="280"/>
        <v>0</v>
      </c>
      <c r="L470" s="727" t="e">
        <f>AVERAGE(J470/H470*100)</f>
        <v>#DIV/0!</v>
      </c>
    </row>
    <row r="471" spans="1:12" s="28" customFormat="1" ht="14.25" x14ac:dyDescent="0.2">
      <c r="A471" s="355" t="s">
        <v>669</v>
      </c>
      <c r="B471" s="446"/>
      <c r="C471" s="367">
        <v>421</v>
      </c>
      <c r="D471" s="368" t="s">
        <v>97</v>
      </c>
      <c r="E471" s="363">
        <v>256000</v>
      </c>
      <c r="F471" s="363">
        <f t="shared" si="280"/>
        <v>150000</v>
      </c>
      <c r="G471" s="363">
        <f t="shared" si="280"/>
        <v>19908.421262193908</v>
      </c>
      <c r="H471" s="363">
        <f t="shared" si="280"/>
        <v>0</v>
      </c>
      <c r="I471" s="363">
        <f t="shared" si="280"/>
        <v>0</v>
      </c>
      <c r="J471" s="363">
        <f t="shared" si="280"/>
        <v>0</v>
      </c>
      <c r="K471" s="529">
        <f t="shared" si="280"/>
        <v>0</v>
      </c>
      <c r="L471" s="384" t="e">
        <f t="shared" ref="L471:L472" si="281">AVERAGE(J471/H471*100)</f>
        <v>#DIV/0!</v>
      </c>
    </row>
    <row r="472" spans="1:12" ht="15" thickBot="1" x14ac:dyDescent="0.25">
      <c r="A472" s="404" t="s">
        <v>669</v>
      </c>
      <c r="B472" s="448"/>
      <c r="C472" s="386">
        <v>4214</v>
      </c>
      <c r="D472" s="387" t="s">
        <v>251</v>
      </c>
      <c r="E472" s="388">
        <v>256000</v>
      </c>
      <c r="F472" s="388">
        <v>150000</v>
      </c>
      <c r="G472" s="388">
        <f>F472/7.5345</f>
        <v>19908.421262193908</v>
      </c>
      <c r="H472" s="388">
        <v>0</v>
      </c>
      <c r="I472" s="388">
        <v>0</v>
      </c>
      <c r="J472" s="388">
        <f>SUM(H472+I472)</f>
        <v>0</v>
      </c>
      <c r="K472" s="531">
        <f>J472*7.5345</f>
        <v>0</v>
      </c>
      <c r="L472" s="384" t="e">
        <f t="shared" si="281"/>
        <v>#DIV/0!</v>
      </c>
    </row>
    <row r="473" spans="1:12" ht="15" thickTop="1" x14ac:dyDescent="0.2">
      <c r="A473" s="401"/>
      <c r="B473" s="451"/>
      <c r="C473" s="40"/>
      <c r="D473" s="396" t="s">
        <v>407</v>
      </c>
      <c r="E473" s="373"/>
      <c r="F473" s="372"/>
      <c r="G473" s="372"/>
      <c r="H473" s="372"/>
      <c r="I473" s="372"/>
      <c r="J473" s="372"/>
      <c r="K473" s="526"/>
      <c r="L473" s="843">
        <f>AVERAGE(J475/H475*100)</f>
        <v>116.0625</v>
      </c>
    </row>
    <row r="474" spans="1:12" ht="14.25" x14ac:dyDescent="0.2">
      <c r="A474" s="401"/>
      <c r="B474" s="451"/>
      <c r="C474" s="40"/>
      <c r="D474" s="396" t="s">
        <v>610</v>
      </c>
      <c r="E474" s="363"/>
      <c r="F474" s="372"/>
      <c r="G474" s="372"/>
      <c r="H474" s="372"/>
      <c r="I474" s="372"/>
      <c r="J474" s="372"/>
      <c r="K474" s="526"/>
      <c r="L474" s="844"/>
    </row>
    <row r="475" spans="1:12" s="211" customFormat="1" ht="31.5" x14ac:dyDescent="0.25">
      <c r="A475" s="425"/>
      <c r="B475" s="452"/>
      <c r="C475" s="97"/>
      <c r="D475" s="429" t="s">
        <v>677</v>
      </c>
      <c r="E475" s="426">
        <v>249000</v>
      </c>
      <c r="F475" s="424" t="e">
        <f t="shared" ref="F475:K476" si="282">SUM(F476)</f>
        <v>#REF!</v>
      </c>
      <c r="G475" s="424" t="e">
        <f t="shared" si="282"/>
        <v>#REF!</v>
      </c>
      <c r="H475" s="424">
        <f>SUM(H476+H480)</f>
        <v>40000</v>
      </c>
      <c r="I475" s="424">
        <f t="shared" ref="I475:J475" si="283">SUM(I476+I480)</f>
        <v>6425</v>
      </c>
      <c r="J475" s="424">
        <f t="shared" si="283"/>
        <v>46425</v>
      </c>
      <c r="K475" s="527" t="e">
        <f t="shared" si="282"/>
        <v>#REF!</v>
      </c>
      <c r="L475" s="845"/>
    </row>
    <row r="476" spans="1:12" s="116" customFormat="1" ht="15" x14ac:dyDescent="0.25">
      <c r="A476" s="358" t="s">
        <v>670</v>
      </c>
      <c r="B476" s="447"/>
      <c r="C476" s="354">
        <v>42</v>
      </c>
      <c r="D476" s="365" t="s">
        <v>250</v>
      </c>
      <c r="E476" s="362">
        <v>249000</v>
      </c>
      <c r="F476" s="362" t="e">
        <f t="shared" si="282"/>
        <v>#REF!</v>
      </c>
      <c r="G476" s="362" t="e">
        <f t="shared" si="282"/>
        <v>#REF!</v>
      </c>
      <c r="H476" s="362">
        <f t="shared" si="282"/>
        <v>40000</v>
      </c>
      <c r="I476" s="362">
        <f t="shared" si="282"/>
        <v>3900</v>
      </c>
      <c r="J476" s="362">
        <f t="shared" si="282"/>
        <v>43900</v>
      </c>
      <c r="K476" s="530" t="e">
        <f t="shared" si="282"/>
        <v>#REF!</v>
      </c>
      <c r="L476" s="727">
        <f>AVERAGE(J476/H476*100)</f>
        <v>109.74999999999999</v>
      </c>
    </row>
    <row r="477" spans="1:12" s="590" customFormat="1" ht="15.75" thickBot="1" x14ac:dyDescent="0.3">
      <c r="A477" s="355" t="s">
        <v>670</v>
      </c>
      <c r="B477" s="446"/>
      <c r="C477" s="367">
        <v>421</v>
      </c>
      <c r="D477" s="368" t="s">
        <v>97</v>
      </c>
      <c r="E477" s="363">
        <v>249000</v>
      </c>
      <c r="F477" s="363" t="e">
        <f>SUM(F478+#REF!+F479)</f>
        <v>#REF!</v>
      </c>
      <c r="G477" s="363" t="e">
        <f>SUM(G478+#REF!+G479)</f>
        <v>#REF!</v>
      </c>
      <c r="H477" s="363">
        <f>SUM(H478+H479)</f>
        <v>40000</v>
      </c>
      <c r="I477" s="363">
        <f t="shared" ref="I477:J477" si="284">SUM(I478+I479)</f>
        <v>3900</v>
      </c>
      <c r="J477" s="363">
        <f t="shared" si="284"/>
        <v>43900</v>
      </c>
      <c r="K477" s="529" t="e">
        <f>SUM(K478+#REF!+K479)</f>
        <v>#REF!</v>
      </c>
      <c r="L477" s="384">
        <f t="shared" ref="L477:L482" si="285">AVERAGE(J477/H477*100)</f>
        <v>109.74999999999999</v>
      </c>
    </row>
    <row r="478" spans="1:12" ht="15" thickTop="1" x14ac:dyDescent="0.2">
      <c r="A478" s="366" t="s">
        <v>670</v>
      </c>
      <c r="B478" s="446"/>
      <c r="C478" s="367">
        <v>4214</v>
      </c>
      <c r="D478" s="368" t="s">
        <v>251</v>
      </c>
      <c r="E478" s="363">
        <v>249000</v>
      </c>
      <c r="F478" s="363">
        <v>50000</v>
      </c>
      <c r="G478" s="363">
        <f>F478/7.5345</f>
        <v>6636.1404207313026</v>
      </c>
      <c r="H478" s="363">
        <v>25000</v>
      </c>
      <c r="I478" s="363">
        <v>-4000</v>
      </c>
      <c r="J478" s="363">
        <f>SUM(H478+I478)</f>
        <v>21000</v>
      </c>
      <c r="K478" s="529">
        <f>J478*7.5345</f>
        <v>158224.5</v>
      </c>
      <c r="L478" s="380">
        <f t="shared" si="285"/>
        <v>84</v>
      </c>
    </row>
    <row r="479" spans="1:12" ht="14.25" x14ac:dyDescent="0.2">
      <c r="A479" s="366" t="s">
        <v>670</v>
      </c>
      <c r="B479" s="446"/>
      <c r="C479" s="367">
        <v>4214</v>
      </c>
      <c r="D479" s="368" t="s">
        <v>251</v>
      </c>
      <c r="E479" s="363">
        <v>249000</v>
      </c>
      <c r="F479" s="363">
        <v>0</v>
      </c>
      <c r="G479" s="363">
        <v>0</v>
      </c>
      <c r="H479" s="363">
        <v>15000</v>
      </c>
      <c r="I479" s="363">
        <v>7900</v>
      </c>
      <c r="J479" s="363">
        <f>SUM(H479+I479)</f>
        <v>22900</v>
      </c>
      <c r="K479" s="529">
        <v>0</v>
      </c>
      <c r="L479" s="380">
        <f t="shared" si="285"/>
        <v>152.66666666666666</v>
      </c>
    </row>
    <row r="480" spans="1:12" ht="15" x14ac:dyDescent="0.25">
      <c r="A480" s="366" t="s">
        <v>658</v>
      </c>
      <c r="B480" s="623"/>
      <c r="C480" s="624">
        <v>32</v>
      </c>
      <c r="D480" s="365" t="s">
        <v>47</v>
      </c>
      <c r="E480" s="363">
        <v>350000</v>
      </c>
      <c r="F480" s="363">
        <v>350000</v>
      </c>
      <c r="G480" s="363">
        <f>F480/7.5345</f>
        <v>46452.982945119118</v>
      </c>
      <c r="H480" s="362">
        <f>SUM(H481)</f>
        <v>0</v>
      </c>
      <c r="I480" s="362">
        <f t="shared" ref="I480:J480" si="286">SUM(I481)</f>
        <v>2525</v>
      </c>
      <c r="J480" s="362">
        <f t="shared" si="286"/>
        <v>2525</v>
      </c>
      <c r="K480" s="529">
        <f>J480*7.5345</f>
        <v>19024.612499999999</v>
      </c>
      <c r="L480" s="735" t="e">
        <f t="shared" si="285"/>
        <v>#DIV/0!</v>
      </c>
    </row>
    <row r="481" spans="1:12" s="390" customFormat="1" ht="15.75" thickBot="1" x14ac:dyDescent="0.25">
      <c r="A481" s="366" t="s">
        <v>658</v>
      </c>
      <c r="B481" s="623"/>
      <c r="C481" s="629">
        <v>323</v>
      </c>
      <c r="D481" s="368" t="s">
        <v>548</v>
      </c>
      <c r="E481" s="363"/>
      <c r="F481" s="363"/>
      <c r="G481" s="363"/>
      <c r="H481" s="363">
        <f>SUM(H482+H483)</f>
        <v>0</v>
      </c>
      <c r="I481" s="363">
        <f t="shared" ref="I481:J481" si="287">SUM(I482+I483)</f>
        <v>2525</v>
      </c>
      <c r="J481" s="363">
        <f t="shared" si="287"/>
        <v>2525</v>
      </c>
      <c r="K481" s="529"/>
      <c r="L481" s="646" t="e">
        <f t="shared" si="285"/>
        <v>#DIV/0!</v>
      </c>
    </row>
    <row r="482" spans="1:12" s="28" customFormat="1" ht="15.75" thickTop="1" thickBot="1" x14ac:dyDescent="0.25">
      <c r="A482" s="366" t="s">
        <v>658</v>
      </c>
      <c r="B482" s="636"/>
      <c r="C482" s="637">
        <v>3237</v>
      </c>
      <c r="D482" s="387" t="s">
        <v>547</v>
      </c>
      <c r="E482" s="388"/>
      <c r="F482" s="388"/>
      <c r="G482" s="388"/>
      <c r="H482" s="388">
        <v>0</v>
      </c>
      <c r="I482" s="388">
        <v>2150</v>
      </c>
      <c r="J482" s="388">
        <f>SUM(H482+I482)</f>
        <v>2150</v>
      </c>
      <c r="K482" s="531"/>
      <c r="L482" s="388" t="e">
        <f t="shared" si="285"/>
        <v>#DIV/0!</v>
      </c>
    </row>
    <row r="483" spans="1:12" ht="15.75" thickTop="1" thickBot="1" x14ac:dyDescent="0.25">
      <c r="A483" s="366" t="s">
        <v>658</v>
      </c>
      <c r="B483" s="636"/>
      <c r="C483" s="637">
        <v>3237</v>
      </c>
      <c r="D483" s="387" t="s">
        <v>547</v>
      </c>
      <c r="E483" s="388"/>
      <c r="F483" s="388"/>
      <c r="G483" s="388"/>
      <c r="H483" s="388">
        <v>0</v>
      </c>
      <c r="I483" s="388">
        <v>375</v>
      </c>
      <c r="J483" s="388">
        <f>SUM(H483+I483)</f>
        <v>375</v>
      </c>
      <c r="K483" s="531"/>
      <c r="L483" s="388" t="e">
        <f t="shared" ref="L483" si="288">AVERAGE(J483/H483*100)</f>
        <v>#DIV/0!</v>
      </c>
    </row>
    <row r="484" spans="1:12" s="390" customFormat="1" ht="30" thickTop="1" thickBot="1" x14ac:dyDescent="0.25">
      <c r="A484" s="401"/>
      <c r="B484" s="451"/>
      <c r="C484" s="40"/>
      <c r="D484" s="396" t="s">
        <v>406</v>
      </c>
      <c r="E484" s="373"/>
      <c r="F484" s="372"/>
      <c r="G484" s="372"/>
      <c r="H484" s="372"/>
      <c r="I484" s="372"/>
      <c r="J484" s="372"/>
      <c r="K484" s="526"/>
      <c r="L484" s="843">
        <f>AVERAGE(J486/H486*100)</f>
        <v>100</v>
      </c>
    </row>
    <row r="485" spans="1:12" ht="15" thickTop="1" x14ac:dyDescent="0.2">
      <c r="A485" s="401"/>
      <c r="B485" s="451"/>
      <c r="C485" s="40"/>
      <c r="D485" s="396" t="s">
        <v>610</v>
      </c>
      <c r="E485" s="363"/>
      <c r="F485" s="372"/>
      <c r="G485" s="372"/>
      <c r="H485" s="372"/>
      <c r="I485" s="372"/>
      <c r="J485" s="372"/>
      <c r="K485" s="526"/>
      <c r="L485" s="844"/>
    </row>
    <row r="486" spans="1:12" ht="31.5" x14ac:dyDescent="0.25">
      <c r="A486" s="425"/>
      <c r="B486" s="452"/>
      <c r="C486" s="97"/>
      <c r="D486" s="429" t="s">
        <v>678</v>
      </c>
      <c r="E486" s="426">
        <v>160000</v>
      </c>
      <c r="F486" s="424" t="e">
        <f>SUM(F487+#REF!)</f>
        <v>#REF!</v>
      </c>
      <c r="G486" s="424" t="e">
        <f>SUM(G487+#REF!)</f>
        <v>#REF!</v>
      </c>
      <c r="H486" s="424">
        <f>SUM(H487)</f>
        <v>66500</v>
      </c>
      <c r="I486" s="424">
        <f t="shared" ref="I486:J486" si="289">SUM(I487)</f>
        <v>0</v>
      </c>
      <c r="J486" s="424">
        <f t="shared" si="289"/>
        <v>66500</v>
      </c>
      <c r="K486" s="527" t="e">
        <f>SUM(K487+#REF!)</f>
        <v>#REF!</v>
      </c>
      <c r="L486" s="845"/>
    </row>
    <row r="487" spans="1:12" s="28" customFormat="1" ht="15" x14ac:dyDescent="0.25">
      <c r="A487" s="358" t="s">
        <v>671</v>
      </c>
      <c r="B487" s="447"/>
      <c r="C487" s="354">
        <v>45</v>
      </c>
      <c r="D487" s="365" t="s">
        <v>480</v>
      </c>
      <c r="E487" s="362">
        <v>247000</v>
      </c>
      <c r="F487" s="362">
        <f t="shared" ref="F487:K487" si="290">SUM(F488)</f>
        <v>30000</v>
      </c>
      <c r="G487" s="362">
        <f t="shared" si="290"/>
        <v>3981.6842524387812</v>
      </c>
      <c r="H487" s="362">
        <f t="shared" si="290"/>
        <v>66500</v>
      </c>
      <c r="I487" s="362">
        <f t="shared" si="290"/>
        <v>0</v>
      </c>
      <c r="J487" s="362">
        <f t="shared" si="290"/>
        <v>66500</v>
      </c>
      <c r="K487" s="530">
        <f t="shared" si="290"/>
        <v>241104</v>
      </c>
      <c r="L487" s="727">
        <f>AVERAGE(J487/H487*100)</f>
        <v>100</v>
      </c>
    </row>
    <row r="488" spans="1:12" ht="14.25" x14ac:dyDescent="0.2">
      <c r="A488" s="355" t="s">
        <v>671</v>
      </c>
      <c r="B488" s="446"/>
      <c r="C488" s="367">
        <v>454</v>
      </c>
      <c r="D488" s="368" t="s">
        <v>552</v>
      </c>
      <c r="E488" s="363">
        <v>30000</v>
      </c>
      <c r="F488" s="363">
        <f t="shared" ref="F488:K488" si="291">SUM(F489)</f>
        <v>30000</v>
      </c>
      <c r="G488" s="363">
        <f t="shared" si="291"/>
        <v>3981.6842524387812</v>
      </c>
      <c r="H488" s="363">
        <f>SUM(H489+H490)</f>
        <v>66500</v>
      </c>
      <c r="I488" s="363">
        <f t="shared" ref="I488:J488" si="292">SUM(I489+I490)</f>
        <v>0</v>
      </c>
      <c r="J488" s="363">
        <f t="shared" si="292"/>
        <v>66500</v>
      </c>
      <c r="K488" s="529">
        <f t="shared" si="291"/>
        <v>241104</v>
      </c>
      <c r="L488" s="384">
        <f t="shared" ref="L488:L490" si="293">AVERAGE(J488/H488*100)</f>
        <v>100</v>
      </c>
    </row>
    <row r="489" spans="1:12" ht="14.25" x14ac:dyDescent="0.2">
      <c r="A489" s="355" t="s">
        <v>671</v>
      </c>
      <c r="B489" s="446"/>
      <c r="C489" s="367">
        <v>4541</v>
      </c>
      <c r="D489" s="368" t="s">
        <v>552</v>
      </c>
      <c r="E489" s="363">
        <v>30000</v>
      </c>
      <c r="F489" s="363">
        <v>30000</v>
      </c>
      <c r="G489" s="363">
        <f>F489/7.5345</f>
        <v>3981.6842524387812</v>
      </c>
      <c r="H489" s="363">
        <v>32000</v>
      </c>
      <c r="I489" s="363">
        <v>0</v>
      </c>
      <c r="J489" s="363">
        <f>SUM(H489+I489)</f>
        <v>32000</v>
      </c>
      <c r="K489" s="529">
        <f>J489*7.5345</f>
        <v>241104</v>
      </c>
      <c r="L489" s="384">
        <f t="shared" si="293"/>
        <v>100</v>
      </c>
    </row>
    <row r="490" spans="1:12" ht="15" customHeight="1" x14ac:dyDescent="0.2">
      <c r="A490" s="355" t="s">
        <v>671</v>
      </c>
      <c r="B490" s="446"/>
      <c r="C490" s="367">
        <v>4541</v>
      </c>
      <c r="D490" s="368" t="s">
        <v>552</v>
      </c>
      <c r="E490" s="363">
        <v>30000</v>
      </c>
      <c r="F490" s="363">
        <v>30000</v>
      </c>
      <c r="G490" s="363">
        <f>F490/7.5345</f>
        <v>3981.6842524387812</v>
      </c>
      <c r="H490" s="363">
        <v>34500</v>
      </c>
      <c r="I490" s="363">
        <v>0</v>
      </c>
      <c r="J490" s="612">
        <f>SUM(H490+I490)</f>
        <v>34500</v>
      </c>
      <c r="K490" s="529">
        <f>J490*7.5345</f>
        <v>259940.25</v>
      </c>
      <c r="L490" s="384">
        <f t="shared" si="293"/>
        <v>100</v>
      </c>
    </row>
    <row r="491" spans="1:12" ht="14.25" x14ac:dyDescent="0.2">
      <c r="A491" s="401"/>
      <c r="B491" s="451"/>
      <c r="C491" s="40"/>
      <c r="D491" s="396" t="s">
        <v>407</v>
      </c>
      <c r="E491" s="373"/>
      <c r="F491" s="372"/>
      <c r="G491" s="372"/>
      <c r="H491" s="372"/>
      <c r="I491" s="372"/>
      <c r="J491" s="372"/>
      <c r="K491" s="526"/>
      <c r="L491" s="855">
        <f>AVERAGE(J493/H493*100)</f>
        <v>99.354838709677423</v>
      </c>
    </row>
    <row r="492" spans="1:12" ht="14.25" x14ac:dyDescent="0.2">
      <c r="A492" s="401"/>
      <c r="B492" s="451"/>
      <c r="C492" s="40"/>
      <c r="D492" s="396" t="s">
        <v>603</v>
      </c>
      <c r="E492" s="363"/>
      <c r="F492" s="372"/>
      <c r="G492" s="372"/>
      <c r="H492" s="372"/>
      <c r="I492" s="372"/>
      <c r="J492" s="372"/>
      <c r="K492" s="526"/>
      <c r="L492" s="844"/>
    </row>
    <row r="493" spans="1:12" ht="31.5" x14ac:dyDescent="0.25">
      <c r="A493" s="425"/>
      <c r="B493" s="452"/>
      <c r="C493" s="97"/>
      <c r="D493" s="585" t="s">
        <v>679</v>
      </c>
      <c r="E493" s="426">
        <v>0</v>
      </c>
      <c r="F493" s="424" t="e">
        <f t="shared" ref="F493:K496" si="294">SUM(F494)</f>
        <v>#REF!</v>
      </c>
      <c r="G493" s="424" t="e">
        <f t="shared" si="294"/>
        <v>#REF!</v>
      </c>
      <c r="H493" s="424">
        <f t="shared" si="294"/>
        <v>124000</v>
      </c>
      <c r="I493" s="424">
        <f t="shared" si="294"/>
        <v>-800</v>
      </c>
      <c r="J493" s="424">
        <f t="shared" si="294"/>
        <v>123200</v>
      </c>
      <c r="K493" s="527" t="e">
        <f t="shared" si="294"/>
        <v>#REF!</v>
      </c>
      <c r="L493" s="845"/>
    </row>
    <row r="494" spans="1:12" s="211" customFormat="1" ht="15" x14ac:dyDescent="0.25">
      <c r="A494" s="358" t="s">
        <v>545</v>
      </c>
      <c r="B494" s="447"/>
      <c r="C494" s="354">
        <v>42</v>
      </c>
      <c r="D494" s="365" t="s">
        <v>250</v>
      </c>
      <c r="E494" s="362">
        <v>0</v>
      </c>
      <c r="F494" s="362" t="e">
        <f t="shared" ref="F494:K494" si="295">SUM(F496)</f>
        <v>#REF!</v>
      </c>
      <c r="G494" s="362" t="e">
        <f t="shared" si="295"/>
        <v>#REF!</v>
      </c>
      <c r="H494" s="362">
        <f t="shared" si="295"/>
        <v>124000</v>
      </c>
      <c r="I494" s="362">
        <f t="shared" si="295"/>
        <v>-800</v>
      </c>
      <c r="J494" s="362">
        <f t="shared" si="295"/>
        <v>123200</v>
      </c>
      <c r="K494" s="530" t="e">
        <f t="shared" si="295"/>
        <v>#REF!</v>
      </c>
      <c r="L494" s="727">
        <f>AVERAGE(J494/H494*100)</f>
        <v>99.354838709677423</v>
      </c>
    </row>
    <row r="495" spans="1:12" ht="15" x14ac:dyDescent="0.25">
      <c r="A495" s="358" t="s">
        <v>463</v>
      </c>
      <c r="B495" s="447"/>
      <c r="C495" s="354">
        <v>42</v>
      </c>
      <c r="D495" s="365" t="s">
        <v>250</v>
      </c>
      <c r="E495" s="362">
        <v>249000</v>
      </c>
      <c r="F495" s="362" t="e">
        <f t="shared" ref="F495:K495" si="296">SUM(F496)</f>
        <v>#REF!</v>
      </c>
      <c r="G495" s="362" t="e">
        <f t="shared" si="296"/>
        <v>#REF!</v>
      </c>
      <c r="H495" s="362">
        <f t="shared" si="296"/>
        <v>124000</v>
      </c>
      <c r="I495" s="362">
        <f t="shared" si="296"/>
        <v>-800</v>
      </c>
      <c r="J495" s="362">
        <f t="shared" si="296"/>
        <v>123200</v>
      </c>
      <c r="K495" s="530" t="e">
        <f t="shared" si="296"/>
        <v>#REF!</v>
      </c>
      <c r="L495" s="727">
        <f>AVERAGE(J495/H495*100)</f>
        <v>99.354838709677423</v>
      </c>
    </row>
    <row r="496" spans="1:12" ht="14.25" x14ac:dyDescent="0.2">
      <c r="A496" s="355" t="s">
        <v>463</v>
      </c>
      <c r="B496" s="446"/>
      <c r="C496" s="367">
        <v>421</v>
      </c>
      <c r="D496" s="368" t="s">
        <v>97</v>
      </c>
      <c r="E496" s="363">
        <v>0</v>
      </c>
      <c r="F496" s="363" t="e">
        <f>SUM(F497+#REF!)</f>
        <v>#REF!</v>
      </c>
      <c r="G496" s="363" t="e">
        <f>SUM(G497+#REF!)</f>
        <v>#REF!</v>
      </c>
      <c r="H496" s="363">
        <f>SUM(H497)</f>
        <v>124000</v>
      </c>
      <c r="I496" s="363">
        <f t="shared" si="294"/>
        <v>-800</v>
      </c>
      <c r="J496" s="363">
        <f t="shared" si="294"/>
        <v>123200</v>
      </c>
      <c r="K496" s="529" t="e">
        <f>SUM(K497+#REF!)</f>
        <v>#REF!</v>
      </c>
      <c r="L496" s="384">
        <f t="shared" ref="L496:L503" si="297">AVERAGE(J496/H496*100)</f>
        <v>99.354838709677423</v>
      </c>
    </row>
    <row r="497" spans="1:12" s="537" customFormat="1" ht="15" thickBot="1" x14ac:dyDescent="0.25">
      <c r="A497" s="355" t="s">
        <v>463</v>
      </c>
      <c r="B497" s="448"/>
      <c r="C497" s="386">
        <v>4214</v>
      </c>
      <c r="D497" s="387" t="s">
        <v>251</v>
      </c>
      <c r="E497" s="388">
        <v>0</v>
      </c>
      <c r="F497" s="388">
        <v>300000</v>
      </c>
      <c r="G497" s="388">
        <f>F497/7.5345</f>
        <v>39816.842524387816</v>
      </c>
      <c r="H497" s="388">
        <v>124000</v>
      </c>
      <c r="I497" s="388">
        <v>-800</v>
      </c>
      <c r="J497" s="388">
        <f>SUM(H497+I497)</f>
        <v>123200</v>
      </c>
      <c r="K497" s="531">
        <f>J497*7.5345</f>
        <v>928250.4</v>
      </c>
      <c r="L497" s="388">
        <f t="shared" si="297"/>
        <v>99.354838709677423</v>
      </c>
    </row>
    <row r="498" spans="1:12" s="537" customFormat="1" ht="15" thickTop="1" x14ac:dyDescent="0.2">
      <c r="A498" s="895"/>
      <c r="B498" s="896"/>
      <c r="C498" s="897"/>
      <c r="D498" s="396" t="s">
        <v>407</v>
      </c>
      <c r="E498" s="373"/>
      <c r="F498" s="372"/>
      <c r="G498" s="372"/>
      <c r="H498" s="372"/>
      <c r="I498" s="372"/>
      <c r="J498" s="372"/>
      <c r="K498" s="526"/>
      <c r="L498" s="372"/>
    </row>
    <row r="499" spans="1:12" s="537" customFormat="1" ht="14.25" x14ac:dyDescent="0.2">
      <c r="A499" s="895"/>
      <c r="B499" s="896"/>
      <c r="C499" s="897"/>
      <c r="D499" s="396" t="s">
        <v>195</v>
      </c>
      <c r="E499" s="363"/>
      <c r="F499" s="372"/>
      <c r="G499" s="372"/>
      <c r="H499" s="372"/>
      <c r="I499" s="372"/>
      <c r="J499" s="372"/>
      <c r="K499" s="526"/>
      <c r="L499" s="372"/>
    </row>
    <row r="500" spans="1:12" s="537" customFormat="1" ht="31.5" x14ac:dyDescent="0.25">
      <c r="A500" s="898"/>
      <c r="B500" s="899"/>
      <c r="C500" s="900"/>
      <c r="D500" s="429" t="s">
        <v>680</v>
      </c>
      <c r="E500" s="426">
        <v>100000</v>
      </c>
      <c r="F500" s="424">
        <f t="shared" ref="F500:K501" si="298">SUM(F501)</f>
        <v>0</v>
      </c>
      <c r="G500" s="424">
        <f t="shared" si="298"/>
        <v>0</v>
      </c>
      <c r="H500" s="424">
        <f t="shared" si="298"/>
        <v>0</v>
      </c>
      <c r="I500" s="424">
        <f t="shared" si="298"/>
        <v>0</v>
      </c>
      <c r="J500" s="424">
        <f t="shared" si="298"/>
        <v>0</v>
      </c>
      <c r="K500" s="527">
        <f t="shared" si="298"/>
        <v>0</v>
      </c>
      <c r="L500" s="727" t="e">
        <f t="shared" si="297"/>
        <v>#DIV/0!</v>
      </c>
    </row>
    <row r="501" spans="1:12" s="537" customFormat="1" ht="15" x14ac:dyDescent="0.25">
      <c r="A501" s="358" t="s">
        <v>681</v>
      </c>
      <c r="B501" s="447"/>
      <c r="C501" s="354">
        <v>42</v>
      </c>
      <c r="D501" s="365" t="s">
        <v>250</v>
      </c>
      <c r="E501" s="362">
        <v>100000</v>
      </c>
      <c r="F501" s="362">
        <f t="shared" si="298"/>
        <v>0</v>
      </c>
      <c r="G501" s="362">
        <f t="shared" si="298"/>
        <v>0</v>
      </c>
      <c r="H501" s="362">
        <f t="shared" si="298"/>
        <v>0</v>
      </c>
      <c r="I501" s="362">
        <f t="shared" si="298"/>
        <v>0</v>
      </c>
      <c r="J501" s="362">
        <f t="shared" si="298"/>
        <v>0</v>
      </c>
      <c r="K501" s="530">
        <f t="shared" si="298"/>
        <v>0</v>
      </c>
      <c r="L501" s="727" t="e">
        <f t="shared" si="297"/>
        <v>#DIV/0!</v>
      </c>
    </row>
    <row r="502" spans="1:12" s="537" customFormat="1" ht="14.25" x14ac:dyDescent="0.2">
      <c r="A502" s="355" t="s">
        <v>681</v>
      </c>
      <c r="B502" s="446"/>
      <c r="C502" s="367">
        <v>421</v>
      </c>
      <c r="D502" s="368" t="s">
        <v>97</v>
      </c>
      <c r="E502" s="363">
        <v>100000</v>
      </c>
      <c r="F502" s="363">
        <f t="shared" ref="F502:K502" si="299">SUM(F503:F503)</f>
        <v>0</v>
      </c>
      <c r="G502" s="363">
        <f t="shared" si="299"/>
        <v>0</v>
      </c>
      <c r="H502" s="363">
        <f t="shared" si="299"/>
        <v>0</v>
      </c>
      <c r="I502" s="363">
        <f t="shared" si="299"/>
        <v>0</v>
      </c>
      <c r="J502" s="363">
        <f t="shared" si="299"/>
        <v>0</v>
      </c>
      <c r="K502" s="529">
        <f t="shared" si="299"/>
        <v>0</v>
      </c>
      <c r="L502" s="384" t="e">
        <f t="shared" si="297"/>
        <v>#DIV/0!</v>
      </c>
    </row>
    <row r="503" spans="1:12" s="537" customFormat="1" ht="15" thickBot="1" x14ac:dyDescent="0.25">
      <c r="A503" s="355" t="s">
        <v>681</v>
      </c>
      <c r="B503" s="454"/>
      <c r="C503" s="386">
        <v>4214</v>
      </c>
      <c r="D503" s="387" t="s">
        <v>251</v>
      </c>
      <c r="E503" s="430">
        <v>100000</v>
      </c>
      <c r="F503" s="430">
        <v>0</v>
      </c>
      <c r="G503" s="388">
        <f t="shared" ref="G503:H503" si="300">F503/7.5345</f>
        <v>0</v>
      </c>
      <c r="H503" s="388">
        <f t="shared" si="300"/>
        <v>0</v>
      </c>
      <c r="I503" s="388">
        <v>0</v>
      </c>
      <c r="J503" s="388">
        <f>SUM(H503+I503)</f>
        <v>0</v>
      </c>
      <c r="K503" s="531">
        <f>J503*7.5345</f>
        <v>0</v>
      </c>
      <c r="L503" s="384" t="e">
        <f t="shared" si="297"/>
        <v>#DIV/0!</v>
      </c>
    </row>
    <row r="504" spans="1:12" s="537" customFormat="1" ht="15" thickTop="1" x14ac:dyDescent="0.2">
      <c r="A504" s="895"/>
      <c r="B504" s="896"/>
      <c r="C504" s="897"/>
      <c r="D504" s="396" t="s">
        <v>407</v>
      </c>
      <c r="E504" s="373"/>
      <c r="F504" s="372"/>
      <c r="G504" s="372"/>
      <c r="H504" s="372"/>
      <c r="I504" s="372"/>
      <c r="J504" s="372"/>
      <c r="K504" s="526"/>
      <c r="L504" s="372"/>
    </row>
    <row r="505" spans="1:12" s="537" customFormat="1" ht="14.25" x14ac:dyDescent="0.2">
      <c r="A505" s="895"/>
      <c r="B505" s="896"/>
      <c r="C505" s="897"/>
      <c r="D505" s="396" t="s">
        <v>195</v>
      </c>
      <c r="E505" s="363"/>
      <c r="F505" s="372"/>
      <c r="G505" s="372"/>
      <c r="H505" s="372"/>
      <c r="I505" s="372"/>
      <c r="J505" s="372"/>
      <c r="K505" s="526"/>
      <c r="L505" s="372"/>
    </row>
    <row r="506" spans="1:12" s="537" customFormat="1" ht="31.5" x14ac:dyDescent="0.25">
      <c r="A506" s="898"/>
      <c r="B506" s="899"/>
      <c r="C506" s="900"/>
      <c r="D506" s="429" t="s">
        <v>682</v>
      </c>
      <c r="E506" s="426">
        <v>100000</v>
      </c>
      <c r="F506" s="424">
        <f t="shared" ref="F506:K507" si="301">SUM(F507)</f>
        <v>0</v>
      </c>
      <c r="G506" s="424">
        <f t="shared" si="301"/>
        <v>0</v>
      </c>
      <c r="H506" s="424">
        <f t="shared" si="301"/>
        <v>0</v>
      </c>
      <c r="I506" s="424">
        <f t="shared" si="301"/>
        <v>7000</v>
      </c>
      <c r="J506" s="424">
        <f t="shared" si="301"/>
        <v>7000</v>
      </c>
      <c r="K506" s="527">
        <f t="shared" si="301"/>
        <v>52741.5</v>
      </c>
      <c r="L506" s="727" t="e">
        <f t="shared" ref="L506:L509" si="302">AVERAGE(J506/H506*100)</f>
        <v>#DIV/0!</v>
      </c>
    </row>
    <row r="507" spans="1:12" s="537" customFormat="1" ht="15" x14ac:dyDescent="0.25">
      <c r="A507" s="358" t="s">
        <v>672</v>
      </c>
      <c r="B507" s="447"/>
      <c r="C507" s="354">
        <v>42</v>
      </c>
      <c r="D507" s="365" t="s">
        <v>250</v>
      </c>
      <c r="E507" s="362">
        <v>100000</v>
      </c>
      <c r="F507" s="362">
        <f t="shared" si="301"/>
        <v>0</v>
      </c>
      <c r="G507" s="362">
        <f t="shared" si="301"/>
        <v>0</v>
      </c>
      <c r="H507" s="362">
        <f t="shared" si="301"/>
        <v>0</v>
      </c>
      <c r="I507" s="362">
        <f t="shared" si="301"/>
        <v>7000</v>
      </c>
      <c r="J507" s="362">
        <f t="shared" si="301"/>
        <v>7000</v>
      </c>
      <c r="K507" s="530">
        <f t="shared" si="301"/>
        <v>52741.5</v>
      </c>
      <c r="L507" s="727" t="e">
        <f t="shared" si="302"/>
        <v>#DIV/0!</v>
      </c>
    </row>
    <row r="508" spans="1:12" s="537" customFormat="1" ht="14.25" x14ac:dyDescent="0.2">
      <c r="A508" s="355" t="s">
        <v>672</v>
      </c>
      <c r="B508" s="446"/>
      <c r="C508" s="367">
        <v>421</v>
      </c>
      <c r="D508" s="368" t="s">
        <v>97</v>
      </c>
      <c r="E508" s="363">
        <v>100000</v>
      </c>
      <c r="F508" s="363">
        <f t="shared" ref="F508:K508" si="303">SUM(F509:F509)</f>
        <v>0</v>
      </c>
      <c r="G508" s="363">
        <f t="shared" si="303"/>
        <v>0</v>
      </c>
      <c r="H508" s="363">
        <f t="shared" si="303"/>
        <v>0</v>
      </c>
      <c r="I508" s="363">
        <f t="shared" si="303"/>
        <v>7000</v>
      </c>
      <c r="J508" s="363">
        <f t="shared" si="303"/>
        <v>7000</v>
      </c>
      <c r="K508" s="529">
        <f t="shared" si="303"/>
        <v>52741.5</v>
      </c>
      <c r="L508" s="384" t="e">
        <f t="shared" si="302"/>
        <v>#DIV/0!</v>
      </c>
    </row>
    <row r="509" spans="1:12" s="537" customFormat="1" ht="15" thickBot="1" x14ac:dyDescent="0.25">
      <c r="A509" s="355" t="s">
        <v>672</v>
      </c>
      <c r="B509" s="454"/>
      <c r="C509" s="386">
        <v>4214</v>
      </c>
      <c r="D509" s="387" t="s">
        <v>251</v>
      </c>
      <c r="E509" s="430">
        <v>100000</v>
      </c>
      <c r="F509" s="430">
        <v>0</v>
      </c>
      <c r="G509" s="388">
        <f t="shared" ref="G509" si="304">F509/7.5345</f>
        <v>0</v>
      </c>
      <c r="H509" s="388">
        <f t="shared" ref="H509" si="305">G509/7.5345</f>
        <v>0</v>
      </c>
      <c r="I509" s="388">
        <v>7000</v>
      </c>
      <c r="J509" s="388">
        <f>SUM(H509+I509)</f>
        <v>7000</v>
      </c>
      <c r="K509" s="531">
        <f>J509*7.5345</f>
        <v>52741.5</v>
      </c>
      <c r="L509" s="384" t="e">
        <f t="shared" si="302"/>
        <v>#DIV/0!</v>
      </c>
    </row>
    <row r="510" spans="1:12" s="537" customFormat="1" ht="29.25" thickTop="1" x14ac:dyDescent="0.2">
      <c r="A510" s="401"/>
      <c r="B510" s="451"/>
      <c r="C510" s="40"/>
      <c r="D510" s="396" t="s">
        <v>406</v>
      </c>
      <c r="E510" s="373"/>
      <c r="F510" s="372"/>
      <c r="G510" s="372"/>
      <c r="H510" s="372"/>
      <c r="I510" s="372"/>
      <c r="J510" s="372"/>
      <c r="K510" s="526"/>
      <c r="L510" s="716"/>
    </row>
    <row r="511" spans="1:12" s="537" customFormat="1" ht="14.25" x14ac:dyDescent="0.2">
      <c r="A511" s="648"/>
      <c r="B511" s="668"/>
      <c r="C511" s="650"/>
      <c r="D511" s="641" t="s">
        <v>407</v>
      </c>
      <c r="E511" s="651"/>
      <c r="F511" s="614"/>
      <c r="G511" s="614"/>
      <c r="H511" s="614"/>
      <c r="I511" s="614"/>
      <c r="J511" s="614"/>
      <c r="K511" s="642"/>
      <c r="L511" s="850">
        <f>AVERAGE(J513/H513*100)</f>
        <v>99.630499400587908</v>
      </c>
    </row>
    <row r="512" spans="1:12" s="537" customFormat="1" ht="14.25" x14ac:dyDescent="0.2">
      <c r="A512" s="648"/>
      <c r="B512" s="668"/>
      <c r="C512" s="650"/>
      <c r="D512" s="641" t="s">
        <v>610</v>
      </c>
      <c r="E512" s="612"/>
      <c r="F512" s="614"/>
      <c r="G512" s="614"/>
      <c r="H512" s="614"/>
      <c r="I512" s="614"/>
      <c r="J512" s="614"/>
      <c r="K512" s="642"/>
      <c r="L512" s="850"/>
    </row>
    <row r="513" spans="1:12" s="537" customFormat="1" ht="31.5" x14ac:dyDescent="0.25">
      <c r="A513" s="652"/>
      <c r="B513" s="664"/>
      <c r="C513" s="654"/>
      <c r="D513" s="613" t="s">
        <v>683</v>
      </c>
      <c r="E513" s="621">
        <v>100000</v>
      </c>
      <c r="F513" s="599">
        <f t="shared" ref="F513:K514" si="306">SUM(F514)</f>
        <v>200000</v>
      </c>
      <c r="G513" s="599">
        <f t="shared" si="306"/>
        <v>26544.56168292521</v>
      </c>
      <c r="H513" s="599">
        <f>SUM(H514+H521+H526+H531)</f>
        <v>1217860</v>
      </c>
      <c r="I513" s="599">
        <f>SUM(I514+I521+I526+I531)</f>
        <v>-4500</v>
      </c>
      <c r="J513" s="424">
        <f>SUM(J514+J521+J526+J531)</f>
        <v>1213360</v>
      </c>
      <c r="K513" s="656">
        <f t="shared" si="306"/>
        <v>5839237.5</v>
      </c>
      <c r="L513" s="851"/>
    </row>
    <row r="514" spans="1:12" s="537" customFormat="1" ht="15" x14ac:dyDescent="0.25">
      <c r="A514" s="669" t="s">
        <v>684</v>
      </c>
      <c r="B514" s="623"/>
      <c r="C514" s="624">
        <v>42</v>
      </c>
      <c r="D514" s="625" t="s">
        <v>250</v>
      </c>
      <c r="E514" s="626">
        <v>100000</v>
      </c>
      <c r="F514" s="626">
        <f t="shared" si="306"/>
        <v>200000</v>
      </c>
      <c r="G514" s="626">
        <f t="shared" si="306"/>
        <v>26544.56168292521</v>
      </c>
      <c r="H514" s="626">
        <f>SUM(H515+H518)</f>
        <v>1164360</v>
      </c>
      <c r="I514" s="626">
        <f t="shared" ref="I514:J514" si="307">SUM(I515+I518)</f>
        <v>0</v>
      </c>
      <c r="J514" s="362">
        <f t="shared" si="307"/>
        <v>1164360</v>
      </c>
      <c r="K514" s="627">
        <f t="shared" si="306"/>
        <v>5839237.5</v>
      </c>
      <c r="L514" s="728">
        <f>AVERAGE(J514/H514*100)</f>
        <v>100</v>
      </c>
    </row>
    <row r="515" spans="1:12" s="537" customFormat="1" ht="14.25" x14ac:dyDescent="0.2">
      <c r="A515" s="670" t="s">
        <v>684</v>
      </c>
      <c r="B515" s="628"/>
      <c r="C515" s="629">
        <v>421</v>
      </c>
      <c r="D515" s="618" t="s">
        <v>97</v>
      </c>
      <c r="E515" s="612">
        <v>100000</v>
      </c>
      <c r="F515" s="612">
        <f>SUM(F516:F517)</f>
        <v>200000</v>
      </c>
      <c r="G515" s="612">
        <f>SUM(G516:G517)</f>
        <v>26544.56168292521</v>
      </c>
      <c r="H515" s="612">
        <f>SUM(H517)</f>
        <v>775000</v>
      </c>
      <c r="I515" s="612">
        <f t="shared" ref="I515:J515" si="308">SUM(I517)</f>
        <v>0</v>
      </c>
      <c r="J515" s="363">
        <f t="shared" si="308"/>
        <v>775000</v>
      </c>
      <c r="K515" s="619">
        <f>SUM(K516:K517)</f>
        <v>5839237.5</v>
      </c>
      <c r="L515" s="646">
        <f t="shared" ref="L515:L534" si="309">AVERAGE(J515/H515*100)</f>
        <v>100</v>
      </c>
    </row>
    <row r="516" spans="1:12" ht="14.25" x14ac:dyDescent="0.2">
      <c r="A516" s="670" t="s">
        <v>684</v>
      </c>
      <c r="B516" s="628"/>
      <c r="C516" s="629">
        <v>4214</v>
      </c>
      <c r="D516" s="618" t="s">
        <v>251</v>
      </c>
      <c r="E516" s="612">
        <v>100000</v>
      </c>
      <c r="F516" s="612">
        <v>0</v>
      </c>
      <c r="G516" s="612">
        <v>0</v>
      </c>
      <c r="H516" s="612">
        <v>0</v>
      </c>
      <c r="I516" s="612">
        <v>0</v>
      </c>
      <c r="J516" s="363">
        <f>SUM(H516+I516)</f>
        <v>0</v>
      </c>
      <c r="K516" s="619">
        <v>0</v>
      </c>
      <c r="L516" s="646" t="e">
        <f t="shared" si="309"/>
        <v>#DIV/0!</v>
      </c>
    </row>
    <row r="517" spans="1:12" s="537" customFormat="1" ht="14.25" x14ac:dyDescent="0.2">
      <c r="A517" s="670" t="s">
        <v>684</v>
      </c>
      <c r="B517" s="631"/>
      <c r="C517" s="632">
        <v>4214</v>
      </c>
      <c r="D517" s="633" t="s">
        <v>251</v>
      </c>
      <c r="E517" s="634">
        <v>100000</v>
      </c>
      <c r="F517" s="634">
        <v>200000</v>
      </c>
      <c r="G517" s="634">
        <f>F517/7.5345</f>
        <v>26544.56168292521</v>
      </c>
      <c r="H517" s="634">
        <v>775000</v>
      </c>
      <c r="I517" s="634">
        <v>0</v>
      </c>
      <c r="J517" s="363">
        <f>SUM(H517+I517)</f>
        <v>775000</v>
      </c>
      <c r="K517" s="619">
        <f>J517*7.5345</f>
        <v>5839237.5</v>
      </c>
      <c r="L517" s="646">
        <f t="shared" si="309"/>
        <v>100</v>
      </c>
    </row>
    <row r="518" spans="1:12" s="537" customFormat="1" ht="14.25" x14ac:dyDescent="0.2">
      <c r="A518" s="670" t="s">
        <v>684</v>
      </c>
      <c r="B518" s="628"/>
      <c r="C518" s="629">
        <v>421</v>
      </c>
      <c r="D518" s="618" t="s">
        <v>97</v>
      </c>
      <c r="E518" s="612"/>
      <c r="F518" s="612"/>
      <c r="G518" s="612"/>
      <c r="H518" s="612">
        <f>SUM(H519+H520)</f>
        <v>389360</v>
      </c>
      <c r="I518" s="612">
        <f t="shared" ref="I518:J518" si="310">SUM(I519+I520)</f>
        <v>0</v>
      </c>
      <c r="J518" s="363">
        <f t="shared" si="310"/>
        <v>389360</v>
      </c>
      <c r="K518" s="619"/>
      <c r="L518" s="646">
        <f t="shared" si="309"/>
        <v>100</v>
      </c>
    </row>
    <row r="519" spans="1:12" s="537" customFormat="1" ht="14.25" x14ac:dyDescent="0.2">
      <c r="A519" s="670" t="s">
        <v>684</v>
      </c>
      <c r="B519" s="631"/>
      <c r="C519" s="632">
        <v>4214</v>
      </c>
      <c r="D519" s="633" t="s">
        <v>251</v>
      </c>
      <c r="E519" s="634"/>
      <c r="F519" s="634"/>
      <c r="G519" s="634"/>
      <c r="H519" s="634">
        <v>389360</v>
      </c>
      <c r="I519" s="634">
        <v>-194680</v>
      </c>
      <c r="J519" s="361">
        <f>SUM(H519+I519)</f>
        <v>194680</v>
      </c>
      <c r="K519" s="635"/>
      <c r="L519" s="733">
        <f t="shared" si="309"/>
        <v>50</v>
      </c>
    </row>
    <row r="520" spans="1:12" s="537" customFormat="1" ht="14.25" x14ac:dyDescent="0.2">
      <c r="A520" s="670" t="s">
        <v>684</v>
      </c>
      <c r="B520" s="631"/>
      <c r="C520" s="632">
        <v>4214</v>
      </c>
      <c r="D520" s="633" t="s">
        <v>251</v>
      </c>
      <c r="E520" s="634"/>
      <c r="F520" s="634"/>
      <c r="G520" s="634"/>
      <c r="H520" s="634">
        <v>0</v>
      </c>
      <c r="I520" s="634">
        <v>194680</v>
      </c>
      <c r="J520" s="361">
        <f>SUM(H520+I520)</f>
        <v>194680</v>
      </c>
      <c r="K520" s="635"/>
      <c r="L520" s="733" t="e">
        <f t="shared" ref="L520" si="311">AVERAGE(J520/H520*100)</f>
        <v>#DIV/0!</v>
      </c>
    </row>
    <row r="521" spans="1:12" s="537" customFormat="1" ht="15" x14ac:dyDescent="0.25">
      <c r="A521" s="670" t="s">
        <v>684</v>
      </c>
      <c r="B521" s="628"/>
      <c r="C521" s="624">
        <v>32</v>
      </c>
      <c r="D521" s="625" t="s">
        <v>47</v>
      </c>
      <c r="E521" s="626"/>
      <c r="F521" s="626"/>
      <c r="G521" s="626"/>
      <c r="H521" s="626">
        <f>H522</f>
        <v>32500</v>
      </c>
      <c r="I521" s="626">
        <f t="shared" ref="I521:J521" si="312">I522</f>
        <v>0</v>
      </c>
      <c r="J521" s="362">
        <f t="shared" si="312"/>
        <v>32500</v>
      </c>
      <c r="K521" s="626">
        <f t="shared" ref="K521:L521" si="313">SUM(K522:K523)</f>
        <v>0</v>
      </c>
      <c r="L521" s="626">
        <f t="shared" si="313"/>
        <v>200</v>
      </c>
    </row>
    <row r="522" spans="1:12" s="539" customFormat="1" ht="15" x14ac:dyDescent="0.25">
      <c r="A522" s="670" t="s">
        <v>684</v>
      </c>
      <c r="B522" s="628"/>
      <c r="C522" s="629">
        <v>323</v>
      </c>
      <c r="D522" s="618" t="s">
        <v>56</v>
      </c>
      <c r="E522" s="612"/>
      <c r="F522" s="612"/>
      <c r="G522" s="612"/>
      <c r="H522" s="626">
        <f>SUM(H523:H525)</f>
        <v>32500</v>
      </c>
      <c r="I522" s="626">
        <f t="shared" ref="I522:J522" si="314">SUM(I523:I525)</f>
        <v>0</v>
      </c>
      <c r="J522" s="362">
        <f t="shared" si="314"/>
        <v>32500</v>
      </c>
      <c r="K522" s="627"/>
      <c r="L522" s="735">
        <f t="shared" si="309"/>
        <v>100</v>
      </c>
    </row>
    <row r="523" spans="1:12" s="537" customFormat="1" ht="14.25" x14ac:dyDescent="0.2">
      <c r="A523" s="670" t="s">
        <v>684</v>
      </c>
      <c r="B523" s="631"/>
      <c r="C523" s="632">
        <v>3237</v>
      </c>
      <c r="D523" s="633" t="s">
        <v>631</v>
      </c>
      <c r="E523" s="634"/>
      <c r="F523" s="634"/>
      <c r="G523" s="634"/>
      <c r="H523" s="634">
        <v>27625</v>
      </c>
      <c r="I523" s="634">
        <v>0</v>
      </c>
      <c r="J523" s="361">
        <f t="shared" ref="J523:J534" si="315">SUM(H523+I523)</f>
        <v>27625</v>
      </c>
      <c r="K523" s="635"/>
      <c r="L523" s="733">
        <f t="shared" si="309"/>
        <v>100</v>
      </c>
    </row>
    <row r="524" spans="1:12" s="537" customFormat="1" ht="14.25" x14ac:dyDescent="0.2">
      <c r="A524" s="670" t="s">
        <v>684</v>
      </c>
      <c r="B524" s="631"/>
      <c r="C524" s="632">
        <v>3237</v>
      </c>
      <c r="D524" s="633" t="s">
        <v>631</v>
      </c>
      <c r="E524" s="634"/>
      <c r="F524" s="634"/>
      <c r="G524" s="634"/>
      <c r="H524" s="634">
        <v>4875</v>
      </c>
      <c r="I524" s="634">
        <v>-2437.5</v>
      </c>
      <c r="J524" s="361">
        <f t="shared" si="315"/>
        <v>2437.5</v>
      </c>
      <c r="K524" s="635"/>
      <c r="L524" s="733">
        <f t="shared" si="309"/>
        <v>50</v>
      </c>
    </row>
    <row r="525" spans="1:12" s="537" customFormat="1" ht="14.25" x14ac:dyDescent="0.2">
      <c r="A525" s="670" t="s">
        <v>684</v>
      </c>
      <c r="B525" s="631"/>
      <c r="C525" s="632">
        <v>3237</v>
      </c>
      <c r="D525" s="633" t="s">
        <v>631</v>
      </c>
      <c r="E525" s="634"/>
      <c r="F525" s="634"/>
      <c r="G525" s="634"/>
      <c r="H525" s="634">
        <v>0</v>
      </c>
      <c r="I525" s="634">
        <v>2437.5</v>
      </c>
      <c r="J525" s="361">
        <f t="shared" ref="J525" si="316">SUM(H525+I525)</f>
        <v>2437.5</v>
      </c>
      <c r="K525" s="635"/>
      <c r="L525" s="733" t="e">
        <f t="shared" ref="L525" si="317">AVERAGE(J525/H525*100)</f>
        <v>#DIV/0!</v>
      </c>
    </row>
    <row r="526" spans="1:12" s="537" customFormat="1" ht="15" x14ac:dyDescent="0.25">
      <c r="A526" s="670" t="s">
        <v>684</v>
      </c>
      <c r="B526" s="628"/>
      <c r="C526" s="624">
        <v>32</v>
      </c>
      <c r="D526" s="625" t="s">
        <v>47</v>
      </c>
      <c r="E526" s="626"/>
      <c r="F526" s="626"/>
      <c r="G526" s="626"/>
      <c r="H526" s="626">
        <f>H527</f>
        <v>16500</v>
      </c>
      <c r="I526" s="626">
        <f t="shared" ref="I526:J526" si="318">I527</f>
        <v>0</v>
      </c>
      <c r="J526" s="362">
        <f t="shared" si="318"/>
        <v>16500</v>
      </c>
      <c r="K526" s="627"/>
      <c r="L526" s="735">
        <f t="shared" si="309"/>
        <v>100</v>
      </c>
    </row>
    <row r="527" spans="1:12" ht="18" customHeight="1" x14ac:dyDescent="0.2">
      <c r="A527" s="670" t="s">
        <v>684</v>
      </c>
      <c r="B527" s="628"/>
      <c r="C527" s="629">
        <v>323</v>
      </c>
      <c r="D527" s="618" t="s">
        <v>56</v>
      </c>
      <c r="E527" s="612"/>
      <c r="F527" s="612"/>
      <c r="G527" s="612"/>
      <c r="H527" s="612">
        <f>SUM(H528:H530)</f>
        <v>16500</v>
      </c>
      <c r="I527" s="612">
        <f t="shared" ref="I527:J527" si="319">SUM(I528:I530)</f>
        <v>0</v>
      </c>
      <c r="J527" s="363">
        <f t="shared" si="319"/>
        <v>16500</v>
      </c>
      <c r="K527" s="619"/>
      <c r="L527" s="733">
        <f t="shared" si="309"/>
        <v>100</v>
      </c>
    </row>
    <row r="528" spans="1:12" s="28" customFormat="1" ht="14.25" x14ac:dyDescent="0.2">
      <c r="A528" s="670" t="s">
        <v>684</v>
      </c>
      <c r="B528" s="628"/>
      <c r="C528" s="629">
        <v>3237</v>
      </c>
      <c r="D528" s="618" t="s">
        <v>632</v>
      </c>
      <c r="E528" s="612"/>
      <c r="F528" s="612"/>
      <c r="G528" s="612"/>
      <c r="H528" s="612">
        <v>14025</v>
      </c>
      <c r="I528" s="612">
        <v>0</v>
      </c>
      <c r="J528" s="361">
        <f t="shared" si="315"/>
        <v>14025</v>
      </c>
      <c r="K528" s="619"/>
      <c r="L528" s="733">
        <f t="shared" si="309"/>
        <v>100</v>
      </c>
    </row>
    <row r="529" spans="1:12" ht="14.25" x14ac:dyDescent="0.2">
      <c r="A529" s="670" t="s">
        <v>684</v>
      </c>
      <c r="B529" s="628"/>
      <c r="C529" s="629">
        <v>3237</v>
      </c>
      <c r="D529" s="618" t="s">
        <v>633</v>
      </c>
      <c r="E529" s="612"/>
      <c r="F529" s="612"/>
      <c r="G529" s="612"/>
      <c r="H529" s="612">
        <v>2475</v>
      </c>
      <c r="I529" s="612">
        <v>-1237.5</v>
      </c>
      <c r="J529" s="361">
        <f t="shared" si="315"/>
        <v>1237.5</v>
      </c>
      <c r="K529" s="619"/>
      <c r="L529" s="733">
        <f t="shared" si="309"/>
        <v>50</v>
      </c>
    </row>
    <row r="530" spans="1:12" ht="14.25" x14ac:dyDescent="0.2">
      <c r="A530" s="670" t="s">
        <v>684</v>
      </c>
      <c r="B530" s="628"/>
      <c r="C530" s="629">
        <v>3237</v>
      </c>
      <c r="D530" s="618" t="s">
        <v>633</v>
      </c>
      <c r="E530" s="612"/>
      <c r="F530" s="612"/>
      <c r="G530" s="612"/>
      <c r="H530" s="612">
        <v>0</v>
      </c>
      <c r="I530" s="612">
        <v>1237.5</v>
      </c>
      <c r="J530" s="361">
        <f t="shared" ref="J530" si="320">SUM(H530+I530)</f>
        <v>1237.5</v>
      </c>
      <c r="K530" s="619"/>
      <c r="L530" s="733" t="e">
        <f t="shared" ref="L530" si="321">AVERAGE(J530/H530*100)</f>
        <v>#DIV/0!</v>
      </c>
    </row>
    <row r="531" spans="1:12" ht="15" x14ac:dyDescent="0.25">
      <c r="A531" s="670" t="s">
        <v>684</v>
      </c>
      <c r="B531" s="628"/>
      <c r="C531" s="624">
        <v>32</v>
      </c>
      <c r="D531" s="625" t="s">
        <v>47</v>
      </c>
      <c r="E531" s="626"/>
      <c r="F531" s="626"/>
      <c r="G531" s="626"/>
      <c r="H531" s="626">
        <f>H532</f>
        <v>4500</v>
      </c>
      <c r="I531" s="626">
        <f t="shared" ref="I531:J531" si="322">I532</f>
        <v>-4500</v>
      </c>
      <c r="J531" s="362">
        <f t="shared" si="322"/>
        <v>0</v>
      </c>
      <c r="K531" s="627"/>
      <c r="L531" s="735">
        <f t="shared" si="309"/>
        <v>0</v>
      </c>
    </row>
    <row r="532" spans="1:12" s="390" customFormat="1" ht="15" thickBot="1" x14ac:dyDescent="0.25">
      <c r="A532" s="670" t="s">
        <v>684</v>
      </c>
      <c r="B532" s="628"/>
      <c r="C532" s="629">
        <v>323</v>
      </c>
      <c r="D532" s="618" t="s">
        <v>56</v>
      </c>
      <c r="E532" s="612"/>
      <c r="F532" s="612"/>
      <c r="G532" s="612"/>
      <c r="H532" s="612">
        <f>SUM(H533:H535)</f>
        <v>4500</v>
      </c>
      <c r="I532" s="612">
        <f t="shared" ref="I532:J532" si="323">SUM(I533:I535)</f>
        <v>-4500</v>
      </c>
      <c r="J532" s="363">
        <f t="shared" si="323"/>
        <v>0</v>
      </c>
      <c r="K532" s="619"/>
      <c r="L532" s="733">
        <f t="shared" si="309"/>
        <v>0</v>
      </c>
    </row>
    <row r="533" spans="1:12" ht="15" thickTop="1" x14ac:dyDescent="0.2">
      <c r="A533" s="670" t="s">
        <v>684</v>
      </c>
      <c r="B533" s="628"/>
      <c r="C533" s="629">
        <v>3233</v>
      </c>
      <c r="D533" s="618" t="s">
        <v>59</v>
      </c>
      <c r="E533" s="612"/>
      <c r="F533" s="612"/>
      <c r="G533" s="612"/>
      <c r="H533" s="612">
        <v>3825</v>
      </c>
      <c r="I533" s="612">
        <v>-3825</v>
      </c>
      <c r="J533" s="361">
        <f t="shared" si="315"/>
        <v>0</v>
      </c>
      <c r="K533" s="635"/>
      <c r="L533" s="733">
        <f t="shared" si="309"/>
        <v>0</v>
      </c>
    </row>
    <row r="534" spans="1:12" ht="15" thickBot="1" x14ac:dyDescent="0.25">
      <c r="A534" s="670" t="s">
        <v>684</v>
      </c>
      <c r="B534" s="636"/>
      <c r="C534" s="637">
        <v>3233</v>
      </c>
      <c r="D534" s="638" t="s">
        <v>59</v>
      </c>
      <c r="E534" s="639"/>
      <c r="F534" s="639"/>
      <c r="G534" s="639"/>
      <c r="H534" s="639">
        <v>675</v>
      </c>
      <c r="I534" s="639">
        <v>-675</v>
      </c>
      <c r="J534" s="388">
        <f t="shared" si="315"/>
        <v>0</v>
      </c>
      <c r="K534" s="640"/>
      <c r="L534" s="734">
        <f t="shared" si="309"/>
        <v>0</v>
      </c>
    </row>
    <row r="535" spans="1:12" ht="28.5" customHeight="1" thickTop="1" thickBot="1" x14ac:dyDescent="0.25">
      <c r="A535" s="670" t="s">
        <v>684</v>
      </c>
      <c r="B535" s="636"/>
      <c r="C535" s="637">
        <v>3233</v>
      </c>
      <c r="D535" s="638" t="s">
        <v>59</v>
      </c>
      <c r="E535" s="639"/>
      <c r="F535" s="639"/>
      <c r="G535" s="639"/>
      <c r="H535" s="639">
        <v>0</v>
      </c>
      <c r="I535" s="639">
        <v>0</v>
      </c>
      <c r="J535" s="388">
        <f t="shared" ref="J535" si="324">SUM(H535+I535)</f>
        <v>0</v>
      </c>
      <c r="K535" s="640"/>
      <c r="L535" s="734" t="e">
        <f t="shared" ref="L535" si="325">AVERAGE(J535/H535*100)</f>
        <v>#DIV/0!</v>
      </c>
    </row>
    <row r="536" spans="1:12" ht="25.9" customHeight="1" thickTop="1" x14ac:dyDescent="0.2">
      <c r="A536" s="401"/>
      <c r="B536" s="451"/>
      <c r="C536" s="40"/>
      <c r="D536" s="396" t="s">
        <v>407</v>
      </c>
      <c r="E536" s="373"/>
      <c r="F536" s="372"/>
      <c r="G536" s="372"/>
      <c r="H536" s="372"/>
      <c r="I536" s="372"/>
      <c r="J536" s="372"/>
      <c r="K536" s="526"/>
      <c r="L536" s="844" t="e">
        <f>AVERAGE(J538/H538*100)</f>
        <v>#DIV/0!</v>
      </c>
    </row>
    <row r="537" spans="1:12" ht="14.25" x14ac:dyDescent="0.2">
      <c r="A537" s="401"/>
      <c r="B537" s="451"/>
      <c r="C537" s="40"/>
      <c r="D537" s="395" t="s">
        <v>603</v>
      </c>
      <c r="E537" s="363"/>
      <c r="F537" s="372"/>
      <c r="G537" s="372"/>
      <c r="H537" s="372"/>
      <c r="I537" s="372"/>
      <c r="J537" s="372"/>
      <c r="K537" s="526"/>
      <c r="L537" s="844"/>
    </row>
    <row r="538" spans="1:12" s="40" customFormat="1" ht="31.5" x14ac:dyDescent="0.25">
      <c r="A538" s="425"/>
      <c r="B538" s="452"/>
      <c r="C538" s="97"/>
      <c r="D538" s="429" t="s">
        <v>685</v>
      </c>
      <c r="E538" s="426">
        <v>100000</v>
      </c>
      <c r="F538" s="424">
        <f t="shared" ref="F538:K539" si="326">SUM(F539)</f>
        <v>150000</v>
      </c>
      <c r="G538" s="424">
        <f t="shared" si="326"/>
        <v>19908.421262193908</v>
      </c>
      <c r="H538" s="424">
        <f>SUM(H539)</f>
        <v>0</v>
      </c>
      <c r="I538" s="424">
        <f>SUM(I539)</f>
        <v>0</v>
      </c>
      <c r="J538" s="424">
        <f>SUM(J539)</f>
        <v>0</v>
      </c>
      <c r="K538" s="527">
        <f t="shared" si="326"/>
        <v>0</v>
      </c>
      <c r="L538" s="845"/>
    </row>
    <row r="539" spans="1:12" s="40" customFormat="1" ht="15" x14ac:dyDescent="0.25">
      <c r="A539" s="358" t="s">
        <v>686</v>
      </c>
      <c r="B539" s="447"/>
      <c r="C539" s="354">
        <v>42</v>
      </c>
      <c r="D539" s="365" t="s">
        <v>250</v>
      </c>
      <c r="E539" s="362">
        <v>100000</v>
      </c>
      <c r="F539" s="362">
        <f t="shared" si="326"/>
        <v>150000</v>
      </c>
      <c r="G539" s="362">
        <f t="shared" si="326"/>
        <v>19908.421262193908</v>
      </c>
      <c r="H539" s="362">
        <f>SUM(H540+H542)</f>
        <v>0</v>
      </c>
      <c r="I539" s="362">
        <f>SUM(I540+I542)</f>
        <v>0</v>
      </c>
      <c r="J539" s="362">
        <f>SUM(J540+J542)</f>
        <v>0</v>
      </c>
      <c r="K539" s="530">
        <f t="shared" si="326"/>
        <v>0</v>
      </c>
      <c r="L539" s="727" t="e">
        <f>AVERAGE(J539/H539*100)</f>
        <v>#DIV/0!</v>
      </c>
    </row>
    <row r="540" spans="1:12" s="40" customFormat="1" ht="14.25" x14ac:dyDescent="0.2">
      <c r="A540" s="355" t="s">
        <v>686</v>
      </c>
      <c r="B540" s="446"/>
      <c r="C540" s="367">
        <v>421</v>
      </c>
      <c r="D540" s="368" t="s">
        <v>97</v>
      </c>
      <c r="E540" s="363">
        <v>100000</v>
      </c>
      <c r="F540" s="363">
        <f t="shared" ref="F540:K540" si="327">SUM(F541:F541)</f>
        <v>150000</v>
      </c>
      <c r="G540" s="363">
        <f t="shared" si="327"/>
        <v>19908.421262193908</v>
      </c>
      <c r="H540" s="363">
        <f>SUM(H541)</f>
        <v>0</v>
      </c>
      <c r="I540" s="363">
        <f>SUM(I541)</f>
        <v>0</v>
      </c>
      <c r="J540" s="363">
        <f>SUM(J541)</f>
        <v>0</v>
      </c>
      <c r="K540" s="529">
        <f t="shared" si="327"/>
        <v>0</v>
      </c>
      <c r="L540" s="384" t="e">
        <f t="shared" ref="L540:L543" si="328">AVERAGE(J540/H540*100)</f>
        <v>#DIV/0!</v>
      </c>
    </row>
    <row r="541" spans="1:12" s="40" customFormat="1" ht="14.25" x14ac:dyDescent="0.2">
      <c r="A541" s="366" t="s">
        <v>686</v>
      </c>
      <c r="B541" s="446"/>
      <c r="C541" s="367">
        <v>4214</v>
      </c>
      <c r="D541" s="368" t="s">
        <v>251</v>
      </c>
      <c r="E541" s="363">
        <v>100000</v>
      </c>
      <c r="F541" s="363">
        <v>150000</v>
      </c>
      <c r="G541" s="363">
        <f>F541/7.5345</f>
        <v>19908.421262193908</v>
      </c>
      <c r="H541" s="363">
        <v>0</v>
      </c>
      <c r="I541" s="363">
        <v>0</v>
      </c>
      <c r="J541" s="363">
        <f>SUM(H541+I541)</f>
        <v>0</v>
      </c>
      <c r="K541" s="529">
        <f>J541*7.5345</f>
        <v>0</v>
      </c>
      <c r="L541" s="384" t="e">
        <f t="shared" si="328"/>
        <v>#DIV/0!</v>
      </c>
    </row>
    <row r="542" spans="1:12" s="40" customFormat="1" ht="14.25" x14ac:dyDescent="0.2">
      <c r="A542" s="355" t="s">
        <v>686</v>
      </c>
      <c r="B542" s="714"/>
      <c r="C542" s="367">
        <v>421</v>
      </c>
      <c r="D542" s="366" t="s">
        <v>97</v>
      </c>
      <c r="E542" s="714"/>
      <c r="F542" s="715"/>
      <c r="G542" s="715"/>
      <c r="H542" s="363">
        <f>SUM(H543)</f>
        <v>0</v>
      </c>
      <c r="I542" s="363">
        <f t="shared" ref="I542:J542" si="329">SUM(I543)</f>
        <v>0</v>
      </c>
      <c r="J542" s="363">
        <f t="shared" si="329"/>
        <v>0</v>
      </c>
      <c r="K542" s="715"/>
      <c r="L542" s="384" t="e">
        <f t="shared" si="328"/>
        <v>#DIV/0!</v>
      </c>
    </row>
    <row r="543" spans="1:12" s="40" customFormat="1" ht="15" thickBot="1" x14ac:dyDescent="0.25">
      <c r="A543" s="366" t="s">
        <v>686</v>
      </c>
      <c r="B543" s="448"/>
      <c r="C543" s="386">
        <v>4214</v>
      </c>
      <c r="D543" s="387" t="s">
        <v>251</v>
      </c>
      <c r="E543" s="388"/>
      <c r="F543" s="388"/>
      <c r="G543" s="388"/>
      <c r="H543" s="388">
        <v>0</v>
      </c>
      <c r="I543" s="388">
        <v>0</v>
      </c>
      <c r="J543" s="388">
        <f>SUM(H543+I543)</f>
        <v>0</v>
      </c>
      <c r="K543" s="531"/>
      <c r="L543" s="389" t="e">
        <f t="shared" si="328"/>
        <v>#DIV/0!</v>
      </c>
    </row>
    <row r="544" spans="1:12" s="40" customFormat="1" ht="15" thickTop="1" x14ac:dyDescent="0.2">
      <c r="A544" s="401"/>
      <c r="B544" s="451"/>
      <c r="D544" s="396" t="s">
        <v>407</v>
      </c>
      <c r="E544" s="373"/>
      <c r="F544" s="372"/>
      <c r="G544" s="372"/>
      <c r="H544" s="372"/>
      <c r="I544" s="372"/>
      <c r="J544" s="372"/>
      <c r="K544" s="526"/>
      <c r="L544" s="844">
        <f>AVERAGE(J546/H546*100)</f>
        <v>117.5</v>
      </c>
    </row>
    <row r="545" spans="1:12" s="40" customFormat="1" ht="14.25" x14ac:dyDescent="0.2">
      <c r="A545" s="401"/>
      <c r="B545" s="451"/>
      <c r="D545" s="395" t="s">
        <v>623</v>
      </c>
      <c r="E545" s="363"/>
      <c r="F545" s="372"/>
      <c r="G545" s="372"/>
      <c r="H545" s="372"/>
      <c r="I545" s="372"/>
      <c r="J545" s="372"/>
      <c r="K545" s="526"/>
      <c r="L545" s="844"/>
    </row>
    <row r="546" spans="1:12" s="97" customFormat="1" ht="31.5" x14ac:dyDescent="0.25">
      <c r="A546" s="425"/>
      <c r="B546" s="452"/>
      <c r="D546" s="429" t="s">
        <v>687</v>
      </c>
      <c r="E546" s="426">
        <v>100000</v>
      </c>
      <c r="F546" s="424">
        <f t="shared" ref="F546:K547" si="330">SUM(F547)</f>
        <v>150000</v>
      </c>
      <c r="G546" s="424">
        <f t="shared" si="330"/>
        <v>19908.421262193908</v>
      </c>
      <c r="H546" s="424">
        <f t="shared" si="330"/>
        <v>60000</v>
      </c>
      <c r="I546" s="424">
        <f t="shared" si="330"/>
        <v>10500</v>
      </c>
      <c r="J546" s="424">
        <f t="shared" si="330"/>
        <v>70500</v>
      </c>
      <c r="K546" s="527">
        <f t="shared" si="330"/>
        <v>116784.75</v>
      </c>
      <c r="L546" s="845"/>
    </row>
    <row r="547" spans="1:12" s="28" customFormat="1" ht="15" x14ac:dyDescent="0.25">
      <c r="A547" s="358" t="s">
        <v>688</v>
      </c>
      <c r="B547" s="447"/>
      <c r="C547" s="354">
        <v>42</v>
      </c>
      <c r="D547" s="365" t="s">
        <v>250</v>
      </c>
      <c r="E547" s="362">
        <v>100000</v>
      </c>
      <c r="F547" s="362">
        <f t="shared" si="330"/>
        <v>150000</v>
      </c>
      <c r="G547" s="362">
        <f t="shared" si="330"/>
        <v>19908.421262193908</v>
      </c>
      <c r="H547" s="362">
        <f>SUM(H548)</f>
        <v>60000</v>
      </c>
      <c r="I547" s="362">
        <f t="shared" si="330"/>
        <v>10500</v>
      </c>
      <c r="J547" s="362">
        <f t="shared" si="330"/>
        <v>70500</v>
      </c>
      <c r="K547" s="530">
        <f t="shared" si="330"/>
        <v>116784.75</v>
      </c>
      <c r="L547" s="727">
        <f>AVERAGE(J547/H547*100)</f>
        <v>117.5</v>
      </c>
    </row>
    <row r="548" spans="1:12" s="40" customFormat="1" ht="14.25" x14ac:dyDescent="0.2">
      <c r="A548" s="355" t="s">
        <v>688</v>
      </c>
      <c r="B548" s="446"/>
      <c r="C548" s="367">
        <v>421</v>
      </c>
      <c r="D548" s="368" t="s">
        <v>97</v>
      </c>
      <c r="E548" s="363">
        <v>100000</v>
      </c>
      <c r="F548" s="363">
        <f t="shared" ref="F548:K548" si="331">SUM(F550:F550)</f>
        <v>150000</v>
      </c>
      <c r="G548" s="363">
        <f t="shared" si="331"/>
        <v>19908.421262193908</v>
      </c>
      <c r="H548" s="363">
        <f>SUM(H549+H550)</f>
        <v>60000</v>
      </c>
      <c r="I548" s="363">
        <f t="shared" ref="I548:J548" si="332">SUM(I549+I550)</f>
        <v>10500</v>
      </c>
      <c r="J548" s="363">
        <f t="shared" si="332"/>
        <v>70500</v>
      </c>
      <c r="K548" s="529">
        <f t="shared" si="331"/>
        <v>116784.75</v>
      </c>
      <c r="L548" s="384">
        <f t="shared" ref="L548:L550" si="333">AVERAGE(J548/H548*100)</f>
        <v>117.5</v>
      </c>
    </row>
    <row r="549" spans="1:12" s="591" customFormat="1" ht="15" thickBot="1" x14ac:dyDescent="0.25">
      <c r="A549" s="404" t="s">
        <v>688</v>
      </c>
      <c r="B549" s="448"/>
      <c r="C549" s="386">
        <v>4214</v>
      </c>
      <c r="D549" s="387" t="s">
        <v>251</v>
      </c>
      <c r="E549" s="388">
        <v>100000</v>
      </c>
      <c r="F549" s="388">
        <v>150000</v>
      </c>
      <c r="G549" s="363">
        <f>F549/7.5345</f>
        <v>19908.421262193908</v>
      </c>
      <c r="H549" s="363">
        <v>20000</v>
      </c>
      <c r="I549" s="363">
        <v>35000</v>
      </c>
      <c r="J549" s="363">
        <f>SUM(H549+I549)</f>
        <v>55000</v>
      </c>
      <c r="K549" s="529">
        <f>J549*7.5345</f>
        <v>414397.5</v>
      </c>
      <c r="L549" s="384">
        <f t="shared" si="333"/>
        <v>275</v>
      </c>
    </row>
    <row r="550" spans="1:12" ht="15.75" thickTop="1" thickBot="1" x14ac:dyDescent="0.25">
      <c r="A550" s="355" t="s">
        <v>688</v>
      </c>
      <c r="B550" s="448"/>
      <c r="C550" s="386">
        <v>4214</v>
      </c>
      <c r="D550" s="387" t="s">
        <v>251</v>
      </c>
      <c r="E550" s="388">
        <v>100000</v>
      </c>
      <c r="F550" s="388">
        <v>150000</v>
      </c>
      <c r="G550" s="363">
        <f>F550/7.5345</f>
        <v>19908.421262193908</v>
      </c>
      <c r="H550" s="363">
        <v>40000</v>
      </c>
      <c r="I550" s="363">
        <v>-24500</v>
      </c>
      <c r="J550" s="363">
        <f>SUM(H550+I550)</f>
        <v>15500</v>
      </c>
      <c r="K550" s="529">
        <f>J550*7.5345</f>
        <v>116784.75</v>
      </c>
      <c r="L550" s="384">
        <f t="shared" si="333"/>
        <v>38.75</v>
      </c>
    </row>
    <row r="551" spans="1:12" ht="15" thickTop="1" x14ac:dyDescent="0.2">
      <c r="A551" s="687"/>
      <c r="B551" s="688"/>
      <c r="C551" s="689"/>
      <c r="D551" s="690" t="s">
        <v>407</v>
      </c>
      <c r="E551" s="615"/>
      <c r="F551" s="691"/>
      <c r="G551" s="642"/>
      <c r="H551" s="614"/>
      <c r="I551" s="614"/>
      <c r="J551" s="614"/>
      <c r="K551" s="692"/>
      <c r="L551" s="712"/>
    </row>
    <row r="552" spans="1:12" s="97" customFormat="1" ht="15.75" x14ac:dyDescent="0.25">
      <c r="A552" s="687"/>
      <c r="B552" s="688"/>
      <c r="C552" s="693"/>
      <c r="D552" s="694" t="s">
        <v>624</v>
      </c>
      <c r="E552" s="615"/>
      <c r="F552" s="691"/>
      <c r="G552" s="642"/>
      <c r="H552" s="614"/>
      <c r="I552" s="614"/>
      <c r="J552" s="614"/>
      <c r="K552" s="692"/>
      <c r="L552" s="712"/>
    </row>
    <row r="553" spans="1:12" s="28" customFormat="1" ht="31.5" x14ac:dyDescent="0.25">
      <c r="A553" s="687"/>
      <c r="B553" s="688"/>
      <c r="C553" s="689"/>
      <c r="D553" s="429" t="s">
        <v>689</v>
      </c>
      <c r="E553" s="615"/>
      <c r="F553" s="691"/>
      <c r="G553" s="642"/>
      <c r="H553" s="614">
        <v>0</v>
      </c>
      <c r="I553" s="614">
        <f>SUM(I554)</f>
        <v>0</v>
      </c>
      <c r="J553" s="614">
        <f t="shared" ref="J553" si="334">SUM(J554)</f>
        <v>0</v>
      </c>
      <c r="K553" s="692"/>
      <c r="L553" s="712" t="e">
        <f>AVERAGE(J553/H553*100)</f>
        <v>#DIV/0!</v>
      </c>
    </row>
    <row r="554" spans="1:12" ht="15" x14ac:dyDescent="0.25">
      <c r="A554" s="769" t="s">
        <v>690</v>
      </c>
      <c r="B554" s="628"/>
      <c r="C554" s="645">
        <v>42</v>
      </c>
      <c r="D554" s="770" t="s">
        <v>250</v>
      </c>
      <c r="E554" s="771"/>
      <c r="F554" s="772"/>
      <c r="G554" s="627"/>
      <c r="H554" s="626">
        <v>0</v>
      </c>
      <c r="I554" s="626">
        <f>SUM(I555+I557)</f>
        <v>0</v>
      </c>
      <c r="J554" s="626">
        <f t="shared" ref="J554" si="335">SUM(J555+J557)</f>
        <v>0</v>
      </c>
      <c r="K554" s="626"/>
      <c r="L554" s="626" t="e">
        <f>AVERAGE(J554/H554*100)</f>
        <v>#DIV/0!</v>
      </c>
    </row>
    <row r="555" spans="1:12" ht="14.25" x14ac:dyDescent="0.2">
      <c r="A555" s="695" t="s">
        <v>690</v>
      </c>
      <c r="B555" s="628"/>
      <c r="C555" s="663">
        <v>421</v>
      </c>
      <c r="D555" s="696" t="s">
        <v>97</v>
      </c>
      <c r="E555" s="680"/>
      <c r="F555" s="681"/>
      <c r="G555" s="619"/>
      <c r="H555" s="612">
        <v>0</v>
      </c>
      <c r="I555" s="612">
        <f>SUM(I556)</f>
        <v>0</v>
      </c>
      <c r="J555" s="612">
        <f t="shared" ref="J555" si="336">SUM(J556)</f>
        <v>0</v>
      </c>
      <c r="K555" s="612"/>
      <c r="L555" s="612" t="e">
        <f t="shared" ref="L555:L579" si="337">AVERAGE(J555/H555*100)</f>
        <v>#DIV/0!</v>
      </c>
    </row>
    <row r="556" spans="1:12" ht="21.75" customHeight="1" x14ac:dyDescent="0.2">
      <c r="A556" s="695" t="s">
        <v>690</v>
      </c>
      <c r="B556" s="628"/>
      <c r="C556" s="663">
        <v>4214</v>
      </c>
      <c r="D556" s="696" t="s">
        <v>251</v>
      </c>
      <c r="E556" s="680"/>
      <c r="F556" s="681"/>
      <c r="G556" s="619"/>
      <c r="H556" s="612">
        <v>0</v>
      </c>
      <c r="I556" s="612">
        <v>0</v>
      </c>
      <c r="J556" s="612">
        <f>SUM(H556+I556)</f>
        <v>0</v>
      </c>
      <c r="K556" s="612"/>
      <c r="L556" s="612" t="e">
        <f t="shared" si="337"/>
        <v>#DIV/0!</v>
      </c>
    </row>
    <row r="557" spans="1:12" ht="14.25" x14ac:dyDescent="0.2">
      <c r="A557" s="695" t="s">
        <v>690</v>
      </c>
      <c r="B557" s="628"/>
      <c r="C557" s="663">
        <v>421</v>
      </c>
      <c r="D557" s="696" t="s">
        <v>97</v>
      </c>
      <c r="E557" s="680"/>
      <c r="F557" s="681"/>
      <c r="G557" s="619"/>
      <c r="H557" s="612">
        <v>0</v>
      </c>
      <c r="I557" s="612">
        <f>SUM(I558)</f>
        <v>0</v>
      </c>
      <c r="J557" s="612">
        <f>SUM(J558)</f>
        <v>0</v>
      </c>
      <c r="K557" s="612"/>
      <c r="L557" s="612" t="e">
        <f t="shared" si="337"/>
        <v>#DIV/0!</v>
      </c>
    </row>
    <row r="558" spans="1:12" ht="15" thickBot="1" x14ac:dyDescent="0.25">
      <c r="A558" s="695" t="s">
        <v>690</v>
      </c>
      <c r="B558" s="636"/>
      <c r="C558" s="683">
        <v>4214</v>
      </c>
      <c r="D558" s="684" t="s">
        <v>251</v>
      </c>
      <c r="E558" s="685"/>
      <c r="F558" s="686"/>
      <c r="G558" s="640"/>
      <c r="H558" s="639">
        <v>0</v>
      </c>
      <c r="I558" s="639">
        <v>0</v>
      </c>
      <c r="J558" s="639">
        <f>SUM(H558+I558)</f>
        <v>0</v>
      </c>
      <c r="K558" s="634"/>
      <c r="L558" s="634" t="e">
        <f t="shared" ref="L558" si="338">AVERAGE(J558/H558*100)</f>
        <v>#DIV/0!</v>
      </c>
    </row>
    <row r="559" spans="1:12" s="416" customFormat="1" ht="18.75" thickTop="1" x14ac:dyDescent="0.25">
      <c r="A559" s="648"/>
      <c r="B559" s="668"/>
      <c r="C559" s="650"/>
      <c r="D559" s="641" t="s">
        <v>407</v>
      </c>
      <c r="E559" s="651"/>
      <c r="F559" s="614"/>
      <c r="G559" s="614"/>
      <c r="H559" s="614"/>
      <c r="I559" s="614"/>
      <c r="J559" s="614"/>
      <c r="K559" s="642"/>
      <c r="L559" s="849">
        <f>AVERAGE(J561/H561*100)</f>
        <v>100</v>
      </c>
    </row>
    <row r="560" spans="1:12" ht="14.25" x14ac:dyDescent="0.2">
      <c r="A560" s="648"/>
      <c r="B560" s="668"/>
      <c r="C560" s="650"/>
      <c r="D560" s="641" t="s">
        <v>610</v>
      </c>
      <c r="E560" s="612"/>
      <c r="F560" s="614"/>
      <c r="G560" s="614"/>
      <c r="H560" s="614"/>
      <c r="I560" s="614"/>
      <c r="J560" s="614"/>
      <c r="K560" s="642"/>
      <c r="L560" s="850"/>
    </row>
    <row r="561" spans="1:12" ht="47.25" x14ac:dyDescent="0.25">
      <c r="A561" s="652"/>
      <c r="B561" s="664"/>
      <c r="C561" s="654"/>
      <c r="D561" s="613" t="s">
        <v>691</v>
      </c>
      <c r="E561" s="621">
        <v>249000</v>
      </c>
      <c r="F561" s="599" t="e">
        <f t="shared" ref="F561:K562" si="339">SUM(F562)</f>
        <v>#REF!</v>
      </c>
      <c r="G561" s="599" t="e">
        <f t="shared" si="339"/>
        <v>#REF!</v>
      </c>
      <c r="H561" s="599">
        <f>SUM(H562)</f>
        <v>20000</v>
      </c>
      <c r="I561" s="599">
        <f t="shared" ref="I561:J561" si="340">SUM(I562)</f>
        <v>0</v>
      </c>
      <c r="J561" s="599">
        <f t="shared" si="340"/>
        <v>20000</v>
      </c>
      <c r="K561" s="656" t="e">
        <f t="shared" si="339"/>
        <v>#REF!</v>
      </c>
      <c r="L561" s="851"/>
    </row>
    <row r="562" spans="1:12" s="97" customFormat="1" ht="15.75" x14ac:dyDescent="0.25">
      <c r="A562" s="669" t="s">
        <v>692</v>
      </c>
      <c r="B562" s="623"/>
      <c r="C562" s="624">
        <v>42</v>
      </c>
      <c r="D562" s="625" t="s">
        <v>250</v>
      </c>
      <c r="E562" s="626">
        <v>249000</v>
      </c>
      <c r="F562" s="626" t="e">
        <f t="shared" si="339"/>
        <v>#REF!</v>
      </c>
      <c r="G562" s="626" t="e">
        <f t="shared" si="339"/>
        <v>#REF!</v>
      </c>
      <c r="H562" s="626">
        <f t="shared" si="339"/>
        <v>20000</v>
      </c>
      <c r="I562" s="626">
        <f t="shared" si="339"/>
        <v>0</v>
      </c>
      <c r="J562" s="626">
        <f t="shared" si="339"/>
        <v>20000</v>
      </c>
      <c r="K562" s="627" t="e">
        <f t="shared" si="339"/>
        <v>#REF!</v>
      </c>
      <c r="L562" s="728">
        <f>AVERAGE(J562/H562*100)</f>
        <v>100</v>
      </c>
    </row>
    <row r="563" spans="1:12" s="28" customFormat="1" ht="14.25" x14ac:dyDescent="0.2">
      <c r="A563" s="670" t="s">
        <v>692</v>
      </c>
      <c r="B563" s="628"/>
      <c r="C563" s="629">
        <v>421</v>
      </c>
      <c r="D563" s="618" t="s">
        <v>97</v>
      </c>
      <c r="E563" s="612">
        <v>249000</v>
      </c>
      <c r="F563" s="612" t="e">
        <f>SUM(F564+#REF!+F484)</f>
        <v>#REF!</v>
      </c>
      <c r="G563" s="612" t="e">
        <f>SUM(G564+#REF!+G484)</f>
        <v>#REF!</v>
      </c>
      <c r="H563" s="612">
        <f>SUM(H564+H484)</f>
        <v>20000</v>
      </c>
      <c r="I563" s="612">
        <f>SUM(I564+I484)</f>
        <v>0</v>
      </c>
      <c r="J563" s="612">
        <f>SUM(J564+J484)</f>
        <v>20000</v>
      </c>
      <c r="K563" s="619" t="e">
        <f>SUM(K564+#REF!+K484)</f>
        <v>#REF!</v>
      </c>
      <c r="L563" s="646">
        <f t="shared" ref="L563:L564" si="341">AVERAGE(J563/H563*100)</f>
        <v>100</v>
      </c>
    </row>
    <row r="564" spans="1:12" ht="15" thickBot="1" x14ac:dyDescent="0.25">
      <c r="A564" s="671" t="s">
        <v>692</v>
      </c>
      <c r="B564" s="636"/>
      <c r="C564" s="637">
        <v>4214</v>
      </c>
      <c r="D564" s="638" t="s">
        <v>251</v>
      </c>
      <c r="E564" s="639">
        <v>249000</v>
      </c>
      <c r="F564" s="639">
        <v>50000</v>
      </c>
      <c r="G564" s="639">
        <f>F564/7.5345</f>
        <v>6636.1404207313026</v>
      </c>
      <c r="H564" s="639">
        <v>20000</v>
      </c>
      <c r="I564" s="639">
        <v>0</v>
      </c>
      <c r="J564" s="639">
        <f>SUM(H564+I564)</f>
        <v>20000</v>
      </c>
      <c r="K564" s="619">
        <f>J564*7.5345</f>
        <v>150690</v>
      </c>
      <c r="L564" s="733">
        <f t="shared" si="341"/>
        <v>100</v>
      </c>
    </row>
    <row r="565" spans="1:12" ht="19.5" thickTop="1" thickBot="1" x14ac:dyDescent="0.3">
      <c r="A565" s="889" t="s">
        <v>599</v>
      </c>
      <c r="B565" s="890"/>
      <c r="C565" s="890"/>
      <c r="D565" s="891"/>
      <c r="E565" s="415">
        <v>120000</v>
      </c>
      <c r="F565" s="415">
        <f t="shared" ref="F565:G565" si="342">SUM(F568)</f>
        <v>0</v>
      </c>
      <c r="G565" s="415">
        <f t="shared" si="342"/>
        <v>0</v>
      </c>
      <c r="H565" s="415">
        <f>SUM(H568+H575)</f>
        <v>48000</v>
      </c>
      <c r="I565" s="415">
        <f t="shared" ref="I565:J565" si="343">SUM(I568+I575)</f>
        <v>-6650</v>
      </c>
      <c r="J565" s="415">
        <f t="shared" si="343"/>
        <v>41350</v>
      </c>
      <c r="K565" s="524">
        <f t="shared" ref="K565" si="344">SUM(K568)</f>
        <v>0</v>
      </c>
      <c r="L565" s="764">
        <f t="shared" si="337"/>
        <v>86.145833333333329</v>
      </c>
    </row>
    <row r="566" spans="1:12" ht="15.75" x14ac:dyDescent="0.25">
      <c r="A566" s="648"/>
      <c r="B566" s="650"/>
      <c r="C566" s="650"/>
      <c r="D566" s="613" t="s">
        <v>600</v>
      </c>
      <c r="E566" s="651"/>
      <c r="F566" s="614"/>
      <c r="G566" s="614"/>
      <c r="H566" s="614"/>
      <c r="I566" s="614"/>
      <c r="J566" s="614"/>
      <c r="K566" s="642"/>
      <c r="L566" s="614"/>
    </row>
    <row r="567" spans="1:12" ht="14.25" x14ac:dyDescent="0.2">
      <c r="A567" s="648"/>
      <c r="B567" s="650"/>
      <c r="C567" s="650"/>
      <c r="D567" s="641" t="s">
        <v>614</v>
      </c>
      <c r="E567" s="612"/>
      <c r="F567" s="614"/>
      <c r="G567" s="614"/>
      <c r="H567" s="614"/>
      <c r="I567" s="614"/>
      <c r="J567" s="614"/>
      <c r="K567" s="642"/>
      <c r="L567" s="614"/>
    </row>
    <row r="568" spans="1:12" ht="15.75" x14ac:dyDescent="0.25">
      <c r="A568" s="648"/>
      <c r="B568" s="650"/>
      <c r="C568" s="650"/>
      <c r="D568" s="713" t="s">
        <v>223</v>
      </c>
      <c r="E568" s="612">
        <v>120000</v>
      </c>
      <c r="F568" s="599">
        <f t="shared" ref="F568:K569" si="345">SUM(F569)</f>
        <v>0</v>
      </c>
      <c r="G568" s="599">
        <f t="shared" si="345"/>
        <v>0</v>
      </c>
      <c r="H568" s="599">
        <f t="shared" si="345"/>
        <v>30000</v>
      </c>
      <c r="I568" s="599">
        <f t="shared" si="345"/>
        <v>-3050</v>
      </c>
      <c r="J568" s="599">
        <f t="shared" si="345"/>
        <v>26950</v>
      </c>
      <c r="K568" s="656">
        <f t="shared" si="345"/>
        <v>0</v>
      </c>
      <c r="L568" s="599">
        <f t="shared" si="337"/>
        <v>89.833333333333329</v>
      </c>
    </row>
    <row r="569" spans="1:12" ht="15" x14ac:dyDescent="0.25">
      <c r="A569" s="669" t="s">
        <v>464</v>
      </c>
      <c r="B569" s="622"/>
      <c r="C569" s="624">
        <v>42</v>
      </c>
      <c r="D569" s="625" t="s">
        <v>250</v>
      </c>
      <c r="E569" s="626">
        <v>120000</v>
      </c>
      <c r="F569" s="626">
        <f t="shared" si="345"/>
        <v>0</v>
      </c>
      <c r="G569" s="626">
        <f t="shared" si="345"/>
        <v>0</v>
      </c>
      <c r="H569" s="626">
        <f t="shared" si="345"/>
        <v>30000</v>
      </c>
      <c r="I569" s="626">
        <f t="shared" si="345"/>
        <v>-3050</v>
      </c>
      <c r="J569" s="626">
        <f t="shared" si="345"/>
        <v>26950</v>
      </c>
      <c r="K569" s="627">
        <f t="shared" si="345"/>
        <v>0</v>
      </c>
      <c r="L569" s="626">
        <f t="shared" si="337"/>
        <v>89.833333333333329</v>
      </c>
    </row>
    <row r="570" spans="1:12" s="28" customFormat="1" ht="14.25" x14ac:dyDescent="0.2">
      <c r="A570" s="670" t="s">
        <v>464</v>
      </c>
      <c r="B570" s="620"/>
      <c r="C570" s="629">
        <v>426</v>
      </c>
      <c r="D570" s="618" t="s">
        <v>117</v>
      </c>
      <c r="E570" s="612">
        <v>120000</v>
      </c>
      <c r="F570" s="612">
        <f t="shared" ref="F570:K570" si="346">SUM(F571:F572)</f>
        <v>0</v>
      </c>
      <c r="G570" s="612">
        <f t="shared" si="346"/>
        <v>0</v>
      </c>
      <c r="H570" s="612">
        <f t="shared" si="346"/>
        <v>30000</v>
      </c>
      <c r="I570" s="612">
        <f t="shared" si="346"/>
        <v>-3050</v>
      </c>
      <c r="J570" s="612">
        <f t="shared" si="346"/>
        <v>26950</v>
      </c>
      <c r="K570" s="619">
        <f t="shared" si="346"/>
        <v>0</v>
      </c>
      <c r="L570" s="612">
        <f t="shared" si="337"/>
        <v>89.833333333333329</v>
      </c>
    </row>
    <row r="571" spans="1:12" ht="14.25" x14ac:dyDescent="0.2">
      <c r="A571" s="670" t="s">
        <v>464</v>
      </c>
      <c r="B571" s="620"/>
      <c r="C571" s="629">
        <v>4263</v>
      </c>
      <c r="D571" s="618" t="s">
        <v>260</v>
      </c>
      <c r="E571" s="612"/>
      <c r="F571" s="612">
        <v>0</v>
      </c>
      <c r="G571" s="612">
        <v>0</v>
      </c>
      <c r="H571" s="612">
        <v>25500</v>
      </c>
      <c r="I571" s="612">
        <v>1450</v>
      </c>
      <c r="J571" s="612">
        <f>SUM(H571+I571)</f>
        <v>26950</v>
      </c>
      <c r="K571" s="619">
        <v>0</v>
      </c>
      <c r="L571" s="612">
        <f t="shared" si="337"/>
        <v>105.68627450980392</v>
      </c>
    </row>
    <row r="572" spans="1:12" ht="14.25" x14ac:dyDescent="0.2">
      <c r="A572" s="670" t="s">
        <v>464</v>
      </c>
      <c r="B572" s="620"/>
      <c r="C572" s="629">
        <v>4263</v>
      </c>
      <c r="D572" s="618" t="s">
        <v>260</v>
      </c>
      <c r="E572" s="612">
        <v>120000</v>
      </c>
      <c r="F572" s="612">
        <v>0</v>
      </c>
      <c r="G572" s="612">
        <v>0</v>
      </c>
      <c r="H572" s="612">
        <v>4500</v>
      </c>
      <c r="I572" s="612">
        <v>-4500</v>
      </c>
      <c r="J572" s="612">
        <f>SUM(H572+I572)</f>
        <v>0</v>
      </c>
      <c r="K572" s="619">
        <v>0</v>
      </c>
      <c r="L572" s="612">
        <f t="shared" si="337"/>
        <v>0</v>
      </c>
    </row>
    <row r="573" spans="1:12" ht="31.5" x14ac:dyDescent="0.25">
      <c r="A573" s="648"/>
      <c r="B573" s="650"/>
      <c r="C573" s="650"/>
      <c r="D573" s="613" t="s">
        <v>601</v>
      </c>
      <c r="E573" s="651"/>
      <c r="F573" s="614"/>
      <c r="G573" s="614"/>
      <c r="H573" s="614"/>
      <c r="I573" s="614"/>
      <c r="J573" s="614"/>
      <c r="K573" s="642"/>
      <c r="L573" s="614"/>
    </row>
    <row r="574" spans="1:12" ht="14.25" x14ac:dyDescent="0.2">
      <c r="A574" s="648"/>
      <c r="B574" s="650"/>
      <c r="C574" s="650"/>
      <c r="D574" s="641" t="s">
        <v>614</v>
      </c>
      <c r="E574" s="612"/>
      <c r="F574" s="614"/>
      <c r="G574" s="614"/>
      <c r="H574" s="614"/>
      <c r="I574" s="614"/>
      <c r="J574" s="614"/>
      <c r="K574" s="642"/>
      <c r="L574" s="614"/>
    </row>
    <row r="575" spans="1:12" ht="15.75" x14ac:dyDescent="0.25">
      <c r="A575" s="648"/>
      <c r="B575" s="650"/>
      <c r="C575" s="650"/>
      <c r="D575" s="713" t="s">
        <v>223</v>
      </c>
      <c r="E575" s="612">
        <v>120000</v>
      </c>
      <c r="F575" s="599">
        <f t="shared" ref="F575:K576" si="347">SUM(F576)</f>
        <v>0</v>
      </c>
      <c r="G575" s="599">
        <f t="shared" si="347"/>
        <v>0</v>
      </c>
      <c r="H575" s="599">
        <f t="shared" si="347"/>
        <v>18000</v>
      </c>
      <c r="I575" s="599">
        <f t="shared" si="347"/>
        <v>-3600</v>
      </c>
      <c r="J575" s="599">
        <f t="shared" si="347"/>
        <v>14400</v>
      </c>
      <c r="K575" s="656">
        <f t="shared" si="347"/>
        <v>0</v>
      </c>
      <c r="L575" s="599">
        <f t="shared" si="337"/>
        <v>80</v>
      </c>
    </row>
    <row r="576" spans="1:12" ht="15" x14ac:dyDescent="0.25">
      <c r="A576" s="669" t="s">
        <v>693</v>
      </c>
      <c r="B576" s="622"/>
      <c r="C576" s="624">
        <v>42</v>
      </c>
      <c r="D576" s="625" t="s">
        <v>250</v>
      </c>
      <c r="E576" s="626">
        <v>120000</v>
      </c>
      <c r="F576" s="626">
        <f t="shared" si="347"/>
        <v>0</v>
      </c>
      <c r="G576" s="626">
        <f t="shared" si="347"/>
        <v>0</v>
      </c>
      <c r="H576" s="626">
        <f t="shared" si="347"/>
        <v>18000</v>
      </c>
      <c r="I576" s="626">
        <f t="shared" si="347"/>
        <v>-3600</v>
      </c>
      <c r="J576" s="626">
        <f t="shared" si="347"/>
        <v>14400</v>
      </c>
      <c r="K576" s="627">
        <f t="shared" si="347"/>
        <v>0</v>
      </c>
      <c r="L576" s="626">
        <f t="shared" si="337"/>
        <v>80</v>
      </c>
    </row>
    <row r="577" spans="1:12" ht="14.25" x14ac:dyDescent="0.2">
      <c r="A577" s="670" t="s">
        <v>693</v>
      </c>
      <c r="B577" s="620"/>
      <c r="C577" s="629">
        <v>426</v>
      </c>
      <c r="D577" s="618" t="s">
        <v>117</v>
      </c>
      <c r="E577" s="612">
        <v>120000</v>
      </c>
      <c r="F577" s="612">
        <f t="shared" ref="F577:K577" si="348">SUM(F578:F579)</f>
        <v>0</v>
      </c>
      <c r="G577" s="612">
        <f t="shared" si="348"/>
        <v>0</v>
      </c>
      <c r="H577" s="612">
        <f t="shared" si="348"/>
        <v>18000</v>
      </c>
      <c r="I577" s="612">
        <f t="shared" si="348"/>
        <v>-3600</v>
      </c>
      <c r="J577" s="612">
        <f t="shared" si="348"/>
        <v>14400</v>
      </c>
      <c r="K577" s="619">
        <f t="shared" si="348"/>
        <v>0</v>
      </c>
      <c r="L577" s="612">
        <f t="shared" si="337"/>
        <v>80</v>
      </c>
    </row>
    <row r="578" spans="1:12" ht="14.25" x14ac:dyDescent="0.2">
      <c r="A578" s="670" t="s">
        <v>693</v>
      </c>
      <c r="B578" s="620"/>
      <c r="C578" s="629">
        <v>4263</v>
      </c>
      <c r="D578" s="618" t="s">
        <v>260</v>
      </c>
      <c r="E578" s="612"/>
      <c r="F578" s="612">
        <v>0</v>
      </c>
      <c r="G578" s="612">
        <v>0</v>
      </c>
      <c r="H578" s="612">
        <v>15300</v>
      </c>
      <c r="I578" s="612">
        <v>-3060</v>
      </c>
      <c r="J578" s="363">
        <f>SUM(H578+I578)</f>
        <v>12240</v>
      </c>
      <c r="K578" s="619">
        <v>0</v>
      </c>
      <c r="L578" s="612">
        <f t="shared" si="337"/>
        <v>80</v>
      </c>
    </row>
    <row r="579" spans="1:12" ht="15" thickBot="1" x14ac:dyDescent="0.25">
      <c r="A579" s="709" t="s">
        <v>693</v>
      </c>
      <c r="B579" s="630"/>
      <c r="C579" s="632">
        <v>4263</v>
      </c>
      <c r="D579" s="633" t="s">
        <v>260</v>
      </c>
      <c r="E579" s="634">
        <v>120000</v>
      </c>
      <c r="F579" s="634">
        <v>0</v>
      </c>
      <c r="G579" s="634">
        <v>0</v>
      </c>
      <c r="H579" s="634">
        <v>2700</v>
      </c>
      <c r="I579" s="634">
        <v>-540</v>
      </c>
      <c r="J579" s="363">
        <f>SUM(H579+I579)</f>
        <v>2160</v>
      </c>
      <c r="K579" s="635">
        <v>0</v>
      </c>
      <c r="L579" s="612">
        <f t="shared" si="337"/>
        <v>80</v>
      </c>
    </row>
    <row r="580" spans="1:12" ht="19.5" thickTop="1" thickBot="1" x14ac:dyDescent="0.3">
      <c r="A580" s="885" t="s">
        <v>597</v>
      </c>
      <c r="B580" s="886"/>
      <c r="C580" s="886"/>
      <c r="D580" s="887"/>
      <c r="E580" s="717" t="e">
        <f>SUM(E583+#REF!+E671+E681+E687+E693)</f>
        <v>#REF!</v>
      </c>
      <c r="F580" s="718" t="e">
        <f>SUM(F583+#REF!+F603)</f>
        <v>#REF!</v>
      </c>
      <c r="G580" s="718" t="e">
        <f>SUM(G583+#REF!+G603)</f>
        <v>#REF!</v>
      </c>
      <c r="H580" s="718">
        <f>SUM(H583+H603)</f>
        <v>172000</v>
      </c>
      <c r="I580" s="718">
        <f>SUM(I583+I603)</f>
        <v>-240</v>
      </c>
      <c r="J580" s="718">
        <f>SUM(J583+J603)</f>
        <v>171760</v>
      </c>
      <c r="K580" s="719" t="e">
        <f>SUM(K583+#REF!+K603)</f>
        <v>#REF!</v>
      </c>
      <c r="L580" s="729">
        <f>AVERAGE(J580/H580*100)</f>
        <v>99.860465116279073</v>
      </c>
    </row>
    <row r="581" spans="1:12" ht="14.25" x14ac:dyDescent="0.2">
      <c r="A581" s="648"/>
      <c r="B581" s="650"/>
      <c r="C581" s="650"/>
      <c r="D581" s="661" t="s">
        <v>178</v>
      </c>
      <c r="E581" s="698"/>
      <c r="F581" s="614"/>
      <c r="G581" s="614"/>
      <c r="H581" s="614"/>
      <c r="I581" s="614"/>
      <c r="J581" s="614"/>
      <c r="K581" s="642"/>
      <c r="L581" s="888">
        <f>AVERAGE(J583/H583*100)</f>
        <v>103.16455696202532</v>
      </c>
    </row>
    <row r="582" spans="1:12" ht="15" x14ac:dyDescent="0.25">
      <c r="A582" s="648"/>
      <c r="B582" s="650"/>
      <c r="C582" s="650"/>
      <c r="D582" s="661" t="s">
        <v>521</v>
      </c>
      <c r="E582" s="699"/>
      <c r="F582" s="614"/>
      <c r="G582" s="614"/>
      <c r="H582" s="614"/>
      <c r="I582" s="614"/>
      <c r="J582" s="614"/>
      <c r="K582" s="642"/>
      <c r="L582" s="850"/>
    </row>
    <row r="583" spans="1:12" ht="15.75" x14ac:dyDescent="0.25">
      <c r="A583" s="700"/>
      <c r="B583" s="701"/>
      <c r="C583" s="701"/>
      <c r="D583" s="702" t="s">
        <v>559</v>
      </c>
      <c r="E583" s="703">
        <f t="shared" ref="E583:K583" si="349">SUM(E584+E594)</f>
        <v>524300</v>
      </c>
      <c r="F583" s="599">
        <f t="shared" si="349"/>
        <v>362000</v>
      </c>
      <c r="G583" s="599">
        <f t="shared" si="349"/>
        <v>48045.656646094634</v>
      </c>
      <c r="H583" s="599">
        <f t="shared" si="349"/>
        <v>158000</v>
      </c>
      <c r="I583" s="599">
        <f t="shared" si="349"/>
        <v>5000</v>
      </c>
      <c r="J583" s="599">
        <f t="shared" si="349"/>
        <v>163000</v>
      </c>
      <c r="K583" s="656">
        <f t="shared" si="349"/>
        <v>1043904.975</v>
      </c>
      <c r="L583" s="851"/>
    </row>
    <row r="584" spans="1:12" ht="15" x14ac:dyDescent="0.25">
      <c r="A584" s="669" t="s">
        <v>694</v>
      </c>
      <c r="B584" s="704"/>
      <c r="C584" s="705">
        <v>31</v>
      </c>
      <c r="D584" s="706" t="s">
        <v>41</v>
      </c>
      <c r="E584" s="707">
        <f>SUM(E585+E588+E591)</f>
        <v>482800</v>
      </c>
      <c r="F584" s="707">
        <f>SUM(F585+F588+F591)</f>
        <v>350000</v>
      </c>
      <c r="G584" s="707">
        <f>SUM(G585+G588+G591)</f>
        <v>46452.982945119118</v>
      </c>
      <c r="H584" s="707">
        <f>SUM(H585+H588+H591)</f>
        <v>149000</v>
      </c>
      <c r="I584" s="707">
        <f t="shared" ref="I584:J584" si="350">SUM(I585+I588+I591)</f>
        <v>4700</v>
      </c>
      <c r="J584" s="707">
        <f t="shared" si="350"/>
        <v>153700</v>
      </c>
      <c r="K584" s="708">
        <f>SUM(K585+K588+K591)</f>
        <v>984344.75249999994</v>
      </c>
      <c r="L584" s="728">
        <f>AVERAGE(J584/H584*100)</f>
        <v>103.15436241610738</v>
      </c>
    </row>
    <row r="585" spans="1:12" ht="14.25" x14ac:dyDescent="0.2">
      <c r="A585" s="670" t="s">
        <v>694</v>
      </c>
      <c r="B585" s="628"/>
      <c r="C585" s="629">
        <v>311</v>
      </c>
      <c r="D585" s="618" t="s">
        <v>183</v>
      </c>
      <c r="E585" s="612">
        <v>400000</v>
      </c>
      <c r="F585" s="612">
        <f t="shared" ref="F585:K585" si="351">F586</f>
        <v>300000</v>
      </c>
      <c r="G585" s="612">
        <f t="shared" si="351"/>
        <v>39816.842524387816</v>
      </c>
      <c r="H585" s="612">
        <f>SUM(H586+H587)</f>
        <v>120000</v>
      </c>
      <c r="I585" s="612">
        <f t="shared" ref="I585:J585" si="352">SUM(I586+I587)</f>
        <v>5000</v>
      </c>
      <c r="J585" s="612">
        <f t="shared" si="352"/>
        <v>125000</v>
      </c>
      <c r="K585" s="619">
        <f t="shared" si="351"/>
        <v>800540.625</v>
      </c>
      <c r="L585" s="646">
        <f t="shared" ref="L585:L600" si="353">AVERAGE(J585/H585*100)</f>
        <v>104.16666666666667</v>
      </c>
    </row>
    <row r="586" spans="1:12" ht="14.25" x14ac:dyDescent="0.2">
      <c r="A586" s="670" t="s">
        <v>694</v>
      </c>
      <c r="B586" s="628"/>
      <c r="C586" s="629">
        <v>3111</v>
      </c>
      <c r="D586" s="618" t="s">
        <v>184</v>
      </c>
      <c r="E586" s="612">
        <v>400000</v>
      </c>
      <c r="F586" s="612">
        <v>300000</v>
      </c>
      <c r="G586" s="612">
        <f>F586/7.5345</f>
        <v>39816.842524387816</v>
      </c>
      <c r="H586" s="612">
        <v>102000</v>
      </c>
      <c r="I586" s="612">
        <v>4250</v>
      </c>
      <c r="J586" s="363">
        <f>SUM(H586+I586)</f>
        <v>106250</v>
      </c>
      <c r="K586" s="619">
        <f>J586*7.5345</f>
        <v>800540.625</v>
      </c>
      <c r="L586" s="646">
        <f t="shared" si="353"/>
        <v>104.16666666666667</v>
      </c>
    </row>
    <row r="587" spans="1:12" ht="14.25" x14ac:dyDescent="0.2">
      <c r="A587" s="670" t="s">
        <v>694</v>
      </c>
      <c r="B587" s="628"/>
      <c r="C587" s="629">
        <v>3111</v>
      </c>
      <c r="D587" s="618" t="s">
        <v>184</v>
      </c>
      <c r="E587" s="612">
        <v>400000</v>
      </c>
      <c r="F587" s="612">
        <v>300000</v>
      </c>
      <c r="G587" s="612">
        <f>F587/7.5345</f>
        <v>39816.842524387816</v>
      </c>
      <c r="H587" s="612">
        <v>18000</v>
      </c>
      <c r="I587" s="612">
        <v>750</v>
      </c>
      <c r="J587" s="363">
        <f>SUM(H587+I587)</f>
        <v>18750</v>
      </c>
      <c r="K587" s="619">
        <f>J587*7.5345</f>
        <v>141271.875</v>
      </c>
      <c r="L587" s="646">
        <f t="shared" si="353"/>
        <v>104.16666666666667</v>
      </c>
    </row>
    <row r="588" spans="1:12" ht="14.25" x14ac:dyDescent="0.2">
      <c r="A588" s="670" t="s">
        <v>694</v>
      </c>
      <c r="B588" s="628"/>
      <c r="C588" s="629">
        <v>312</v>
      </c>
      <c r="D588" s="618" t="s">
        <v>43</v>
      </c>
      <c r="E588" s="612">
        <v>14000</v>
      </c>
      <c r="F588" s="612">
        <f t="shared" ref="F588:K588" si="354">F589</f>
        <v>0</v>
      </c>
      <c r="G588" s="612">
        <f t="shared" si="354"/>
        <v>0</v>
      </c>
      <c r="H588" s="612">
        <f>SUM(H589+H590)</f>
        <v>9000</v>
      </c>
      <c r="I588" s="612">
        <f t="shared" ref="I588:J588" si="355">SUM(I589+I590)</f>
        <v>-1300</v>
      </c>
      <c r="J588" s="612">
        <f t="shared" si="355"/>
        <v>7700</v>
      </c>
      <c r="K588" s="619">
        <f t="shared" si="354"/>
        <v>49313.302500000005</v>
      </c>
      <c r="L588" s="646">
        <f t="shared" si="353"/>
        <v>85.555555555555557</v>
      </c>
    </row>
    <row r="589" spans="1:12" ht="14.25" x14ac:dyDescent="0.2">
      <c r="A589" s="670" t="s">
        <v>694</v>
      </c>
      <c r="B589" s="628"/>
      <c r="C589" s="629">
        <v>3121</v>
      </c>
      <c r="D589" s="618" t="s">
        <v>43</v>
      </c>
      <c r="E589" s="612">
        <v>14000</v>
      </c>
      <c r="F589" s="612">
        <v>0</v>
      </c>
      <c r="G589" s="612">
        <f>F589/7.5345</f>
        <v>0</v>
      </c>
      <c r="H589" s="612">
        <v>7650</v>
      </c>
      <c r="I589" s="612">
        <v>-1105</v>
      </c>
      <c r="J589" s="363">
        <f>SUM(H589+I589)</f>
        <v>6545</v>
      </c>
      <c r="K589" s="619">
        <f>J589*7.5345</f>
        <v>49313.302500000005</v>
      </c>
      <c r="L589" s="646">
        <f t="shared" si="353"/>
        <v>85.555555555555557</v>
      </c>
    </row>
    <row r="590" spans="1:12" ht="14.25" x14ac:dyDescent="0.2">
      <c r="A590" s="670" t="s">
        <v>694</v>
      </c>
      <c r="B590" s="628"/>
      <c r="C590" s="629">
        <v>3121</v>
      </c>
      <c r="D590" s="618" t="s">
        <v>43</v>
      </c>
      <c r="E590" s="612">
        <v>14000</v>
      </c>
      <c r="F590" s="612">
        <v>0</v>
      </c>
      <c r="G590" s="612">
        <f>F590/7.5345</f>
        <v>0</v>
      </c>
      <c r="H590" s="612">
        <v>1350</v>
      </c>
      <c r="I590" s="612">
        <v>-195</v>
      </c>
      <c r="J590" s="363">
        <f>SUM(H590+I590)</f>
        <v>1155</v>
      </c>
      <c r="K590" s="619">
        <f>J590*7.5345</f>
        <v>8702.3474999999999</v>
      </c>
      <c r="L590" s="646">
        <f t="shared" si="353"/>
        <v>85.555555555555557</v>
      </c>
    </row>
    <row r="591" spans="1:12" ht="14.25" x14ac:dyDescent="0.2">
      <c r="A591" s="670" t="s">
        <v>694</v>
      </c>
      <c r="B591" s="628"/>
      <c r="C591" s="629">
        <v>313</v>
      </c>
      <c r="D591" s="618" t="s">
        <v>44</v>
      </c>
      <c r="E591" s="612">
        <v>68800</v>
      </c>
      <c r="F591" s="612">
        <f t="shared" ref="F591:K591" si="356">F592</f>
        <v>50000</v>
      </c>
      <c r="G591" s="612">
        <f t="shared" si="356"/>
        <v>6636.1404207313026</v>
      </c>
      <c r="H591" s="612">
        <f>SUM(H592+H593)</f>
        <v>20000</v>
      </c>
      <c r="I591" s="612">
        <f t="shared" ref="I591:J591" si="357">SUM(I592+I593)</f>
        <v>1000</v>
      </c>
      <c r="J591" s="612">
        <f t="shared" si="357"/>
        <v>21000</v>
      </c>
      <c r="K591" s="619">
        <f t="shared" si="356"/>
        <v>134490.82500000001</v>
      </c>
      <c r="L591" s="646">
        <f t="shared" si="353"/>
        <v>105</v>
      </c>
    </row>
    <row r="592" spans="1:12" ht="14.25" x14ac:dyDescent="0.2">
      <c r="A592" s="670" t="s">
        <v>694</v>
      </c>
      <c r="B592" s="628"/>
      <c r="C592" s="629">
        <v>3132</v>
      </c>
      <c r="D592" s="618" t="s">
        <v>185</v>
      </c>
      <c r="E592" s="612">
        <v>62000</v>
      </c>
      <c r="F592" s="612">
        <v>50000</v>
      </c>
      <c r="G592" s="612">
        <f>F592/7.5345</f>
        <v>6636.1404207313026</v>
      </c>
      <c r="H592" s="612">
        <v>17000</v>
      </c>
      <c r="I592" s="612">
        <v>850</v>
      </c>
      <c r="J592" s="363">
        <f>SUM(H592+I592)</f>
        <v>17850</v>
      </c>
      <c r="K592" s="619">
        <f>J592*7.5345</f>
        <v>134490.82500000001</v>
      </c>
      <c r="L592" s="646">
        <f t="shared" si="353"/>
        <v>105</v>
      </c>
    </row>
    <row r="593" spans="1:12" ht="14.25" x14ac:dyDescent="0.2">
      <c r="A593" s="670" t="s">
        <v>694</v>
      </c>
      <c r="B593" s="628"/>
      <c r="C593" s="629">
        <v>3132</v>
      </c>
      <c r="D593" s="618" t="s">
        <v>185</v>
      </c>
      <c r="E593" s="612">
        <v>62000</v>
      </c>
      <c r="F593" s="612">
        <v>50000</v>
      </c>
      <c r="G593" s="612">
        <f>F593/7.5345</f>
        <v>6636.1404207313026</v>
      </c>
      <c r="H593" s="612">
        <v>3000</v>
      </c>
      <c r="I593" s="612">
        <v>150</v>
      </c>
      <c r="J593" s="363">
        <f>SUM(H593+I593)</f>
        <v>3150</v>
      </c>
      <c r="K593" s="619">
        <f>J593*7.5345</f>
        <v>23733.675000000003</v>
      </c>
      <c r="L593" s="646">
        <f t="shared" si="353"/>
        <v>105</v>
      </c>
    </row>
    <row r="594" spans="1:12" ht="15" x14ac:dyDescent="0.25">
      <c r="A594" s="669" t="s">
        <v>694</v>
      </c>
      <c r="B594" s="623"/>
      <c r="C594" s="624">
        <v>32</v>
      </c>
      <c r="D594" s="625" t="s">
        <v>47</v>
      </c>
      <c r="E594" s="626">
        <v>41500</v>
      </c>
      <c r="F594" s="626">
        <f t="shared" ref="F594:K594" si="358">F595+F598</f>
        <v>12000</v>
      </c>
      <c r="G594" s="626">
        <f t="shared" si="358"/>
        <v>1592.6737009755125</v>
      </c>
      <c r="H594" s="626">
        <f t="shared" si="358"/>
        <v>9000</v>
      </c>
      <c r="I594" s="626">
        <f t="shared" si="358"/>
        <v>300</v>
      </c>
      <c r="J594" s="626">
        <f t="shared" si="358"/>
        <v>9300</v>
      </c>
      <c r="K594" s="627">
        <f t="shared" si="358"/>
        <v>59560.222500000003</v>
      </c>
      <c r="L594" s="728">
        <f t="shared" si="353"/>
        <v>103.33333333333334</v>
      </c>
    </row>
    <row r="595" spans="1:12" ht="14.25" x14ac:dyDescent="0.2">
      <c r="A595" s="670" t="s">
        <v>694</v>
      </c>
      <c r="B595" s="628"/>
      <c r="C595" s="629">
        <v>321</v>
      </c>
      <c r="D595" s="618" t="s">
        <v>48</v>
      </c>
      <c r="E595" s="612">
        <f>SUM(E596:E600)</f>
        <v>68000</v>
      </c>
      <c r="F595" s="612">
        <f t="shared" ref="F595:K595" si="359">SUM(F596)</f>
        <v>10000</v>
      </c>
      <c r="G595" s="612">
        <f t="shared" si="359"/>
        <v>1327.2280841462605</v>
      </c>
      <c r="H595" s="612">
        <f>SUM(H596+H597)</f>
        <v>3000</v>
      </c>
      <c r="I595" s="612">
        <f t="shared" ref="I595:J595" si="360">SUM(I596+I597)</f>
        <v>-1000</v>
      </c>
      <c r="J595" s="612">
        <f t="shared" si="360"/>
        <v>2000</v>
      </c>
      <c r="K595" s="619">
        <f t="shared" si="359"/>
        <v>12808.650000000001</v>
      </c>
      <c r="L595" s="646">
        <f t="shared" si="353"/>
        <v>66.666666666666657</v>
      </c>
    </row>
    <row r="596" spans="1:12" ht="14.25" x14ac:dyDescent="0.2">
      <c r="A596" s="670" t="s">
        <v>694</v>
      </c>
      <c r="B596" s="628"/>
      <c r="C596" s="629">
        <v>3214</v>
      </c>
      <c r="D596" s="618" t="s">
        <v>187</v>
      </c>
      <c r="E596" s="612">
        <v>18000</v>
      </c>
      <c r="F596" s="612">
        <v>10000</v>
      </c>
      <c r="G596" s="612">
        <f>F596/7.5345</f>
        <v>1327.2280841462605</v>
      </c>
      <c r="H596" s="612">
        <v>2550</v>
      </c>
      <c r="I596" s="612">
        <v>-850</v>
      </c>
      <c r="J596" s="363">
        <f>SUM(H596+I596)</f>
        <v>1700</v>
      </c>
      <c r="K596" s="619">
        <f>J596*7.5345</f>
        <v>12808.650000000001</v>
      </c>
      <c r="L596" s="646">
        <f t="shared" si="353"/>
        <v>66.666666666666657</v>
      </c>
    </row>
    <row r="597" spans="1:12" ht="14.25" x14ac:dyDescent="0.2">
      <c r="A597" s="670" t="s">
        <v>694</v>
      </c>
      <c r="B597" s="628"/>
      <c r="C597" s="629">
        <v>3214</v>
      </c>
      <c r="D597" s="618" t="s">
        <v>187</v>
      </c>
      <c r="E597" s="612">
        <v>18000</v>
      </c>
      <c r="F597" s="612">
        <v>10000</v>
      </c>
      <c r="G597" s="612">
        <f>F597/7.5345</f>
        <v>1327.2280841462605</v>
      </c>
      <c r="H597" s="612">
        <v>450</v>
      </c>
      <c r="I597" s="612">
        <v>-150</v>
      </c>
      <c r="J597" s="363">
        <f>SUM(H597+I597)</f>
        <v>300</v>
      </c>
      <c r="K597" s="619">
        <f>J597*7.5345</f>
        <v>2260.35</v>
      </c>
      <c r="L597" s="646">
        <f t="shared" si="353"/>
        <v>66.666666666666657</v>
      </c>
    </row>
    <row r="598" spans="1:12" ht="14.25" x14ac:dyDescent="0.2">
      <c r="A598" s="670" t="s">
        <v>694</v>
      </c>
      <c r="B598" s="628"/>
      <c r="C598" s="629">
        <v>322</v>
      </c>
      <c r="D598" s="618" t="s">
        <v>52</v>
      </c>
      <c r="E598" s="612">
        <f>SUM(E599:E600)</f>
        <v>16000</v>
      </c>
      <c r="F598" s="612">
        <f t="shared" ref="F598:K598" si="361">SUM(F599)</f>
        <v>2000</v>
      </c>
      <c r="G598" s="612">
        <f t="shared" si="361"/>
        <v>265.44561682925212</v>
      </c>
      <c r="H598" s="612">
        <f>SUM(H599:H600)</f>
        <v>6000</v>
      </c>
      <c r="I598" s="612">
        <f t="shared" ref="I598:J598" si="362">SUM(I599:I600)</f>
        <v>1300</v>
      </c>
      <c r="J598" s="612">
        <f t="shared" si="362"/>
        <v>7300</v>
      </c>
      <c r="K598" s="619">
        <f t="shared" si="361"/>
        <v>46751.572500000002</v>
      </c>
      <c r="L598" s="646">
        <f t="shared" si="353"/>
        <v>121.66666666666666</v>
      </c>
    </row>
    <row r="599" spans="1:12" ht="14.25" x14ac:dyDescent="0.2">
      <c r="A599" s="670" t="s">
        <v>694</v>
      </c>
      <c r="B599" s="631"/>
      <c r="C599" s="632">
        <v>3221</v>
      </c>
      <c r="D599" s="633" t="s">
        <v>53</v>
      </c>
      <c r="E599" s="634">
        <v>16000</v>
      </c>
      <c r="F599" s="634">
        <v>2000</v>
      </c>
      <c r="G599" s="634">
        <f>F599/7.5345</f>
        <v>265.44561682925212</v>
      </c>
      <c r="H599" s="634">
        <v>5100</v>
      </c>
      <c r="I599" s="634">
        <v>1105</v>
      </c>
      <c r="J599" s="361">
        <f>SUM(H599+I599)</f>
        <v>6205</v>
      </c>
      <c r="K599" s="635">
        <f>J599*7.5345</f>
        <v>46751.572500000002</v>
      </c>
      <c r="L599" s="646">
        <f t="shared" si="353"/>
        <v>121.66666666666666</v>
      </c>
    </row>
    <row r="600" spans="1:12" ht="15" thickBot="1" x14ac:dyDescent="0.25">
      <c r="A600" s="670" t="s">
        <v>694</v>
      </c>
      <c r="B600" s="636"/>
      <c r="C600" s="637">
        <v>3221</v>
      </c>
      <c r="D600" s="638" t="s">
        <v>53</v>
      </c>
      <c r="E600" s="639"/>
      <c r="F600" s="639"/>
      <c r="G600" s="639"/>
      <c r="H600" s="388">
        <v>900</v>
      </c>
      <c r="I600" s="388">
        <v>195</v>
      </c>
      <c r="J600" s="388">
        <f>SUM(H600+I600)</f>
        <v>1095</v>
      </c>
      <c r="K600" s="640"/>
      <c r="L600" s="646">
        <f t="shared" si="353"/>
        <v>121.66666666666666</v>
      </c>
    </row>
    <row r="601" spans="1:12" ht="15" thickTop="1" x14ac:dyDescent="0.2">
      <c r="A601" s="648"/>
      <c r="B601" s="668"/>
      <c r="C601" s="650"/>
      <c r="D601" s="661" t="s">
        <v>178</v>
      </c>
      <c r="E601" s="698"/>
      <c r="F601" s="642"/>
      <c r="G601" s="642"/>
      <c r="H601" s="614"/>
      <c r="I601" s="614"/>
      <c r="J601" s="614"/>
      <c r="K601" s="642"/>
      <c r="L601" s="849">
        <f>AVERAGE(J603/H603*100)</f>
        <v>62.571428571428569</v>
      </c>
    </row>
    <row r="602" spans="1:12" ht="15" x14ac:dyDescent="0.25">
      <c r="A602" s="648"/>
      <c r="B602" s="668"/>
      <c r="C602" s="650"/>
      <c r="D602" s="661" t="s">
        <v>521</v>
      </c>
      <c r="E602" s="699"/>
      <c r="F602" s="614"/>
      <c r="G602" s="614"/>
      <c r="H602" s="614"/>
      <c r="I602" s="614"/>
      <c r="J602" s="614"/>
      <c r="K602" s="642"/>
      <c r="L602" s="850"/>
    </row>
    <row r="603" spans="1:12" ht="15.75" x14ac:dyDescent="0.25">
      <c r="A603" s="700"/>
      <c r="B603" s="710"/>
      <c r="C603" s="701"/>
      <c r="D603" s="702" t="s">
        <v>556</v>
      </c>
      <c r="E603" s="703" t="e">
        <f>SUM(#REF!+E643)</f>
        <v>#REF!</v>
      </c>
      <c r="F603" s="599">
        <f t="shared" ref="F603:K603" si="363">SUM(F604)</f>
        <v>1000</v>
      </c>
      <c r="G603" s="599">
        <f t="shared" si="363"/>
        <v>132.72280841462606</v>
      </c>
      <c r="H603" s="599">
        <f t="shared" si="363"/>
        <v>14000</v>
      </c>
      <c r="I603" s="599">
        <f t="shared" si="363"/>
        <v>-5240</v>
      </c>
      <c r="J603" s="599">
        <f t="shared" si="363"/>
        <v>8760</v>
      </c>
      <c r="K603" s="656">
        <f t="shared" si="363"/>
        <v>0</v>
      </c>
      <c r="L603" s="851"/>
    </row>
    <row r="604" spans="1:12" ht="15" x14ac:dyDescent="0.25">
      <c r="A604" s="669" t="s">
        <v>695</v>
      </c>
      <c r="B604" s="623"/>
      <c r="C604" s="624">
        <v>32</v>
      </c>
      <c r="D604" s="625" t="s">
        <v>47</v>
      </c>
      <c r="E604" s="626">
        <v>41500</v>
      </c>
      <c r="F604" s="626">
        <f t="shared" ref="F604:K604" si="364">F605+F610</f>
        <v>1000</v>
      </c>
      <c r="G604" s="626">
        <f t="shared" si="364"/>
        <v>132.72280841462606</v>
      </c>
      <c r="H604" s="626">
        <f t="shared" si="364"/>
        <v>14000</v>
      </c>
      <c r="I604" s="626">
        <f t="shared" si="364"/>
        <v>-5240</v>
      </c>
      <c r="J604" s="626">
        <f t="shared" si="364"/>
        <v>8760</v>
      </c>
      <c r="K604" s="627">
        <f t="shared" si="364"/>
        <v>0</v>
      </c>
      <c r="L604" s="728">
        <f>AVERAGE(J604/H604*100)</f>
        <v>62.571428571428569</v>
      </c>
    </row>
    <row r="605" spans="1:12" ht="14.25" x14ac:dyDescent="0.2">
      <c r="A605" s="670" t="s">
        <v>695</v>
      </c>
      <c r="B605" s="628"/>
      <c r="C605" s="629">
        <v>323</v>
      </c>
      <c r="D605" s="618" t="s">
        <v>56</v>
      </c>
      <c r="E605" s="612" t="e">
        <f>SUM(E606:E645)</f>
        <v>#REF!</v>
      </c>
      <c r="F605" s="612">
        <f t="shared" ref="F605:K605" si="365">SUM(F606)</f>
        <v>1000</v>
      </c>
      <c r="G605" s="612">
        <f t="shared" si="365"/>
        <v>132.72280841462606</v>
      </c>
      <c r="H605" s="612">
        <f>SUM(H606+H607+H608+H609)</f>
        <v>12500</v>
      </c>
      <c r="I605" s="612">
        <f t="shared" ref="I605:J605" si="366">SUM(I606+I607+I608+I609)</f>
        <v>-3740</v>
      </c>
      <c r="J605" s="612">
        <f t="shared" si="366"/>
        <v>8760</v>
      </c>
      <c r="K605" s="619">
        <f t="shared" si="365"/>
        <v>0</v>
      </c>
      <c r="L605" s="646">
        <f t="shared" ref="L605:L611" si="367">AVERAGE(J605/H605*100)</f>
        <v>70.08</v>
      </c>
    </row>
    <row r="606" spans="1:12" ht="14.25" x14ac:dyDescent="0.2">
      <c r="A606" s="670" t="s">
        <v>695</v>
      </c>
      <c r="B606" s="628"/>
      <c r="C606" s="629">
        <v>3233</v>
      </c>
      <c r="D606" s="618" t="s">
        <v>59</v>
      </c>
      <c r="E606" s="612">
        <v>25000</v>
      </c>
      <c r="F606" s="612">
        <v>1000</v>
      </c>
      <c r="G606" s="612">
        <f>F606/7.5345</f>
        <v>132.72280841462606</v>
      </c>
      <c r="H606" s="612">
        <v>2550</v>
      </c>
      <c r="I606" s="612">
        <v>-2550</v>
      </c>
      <c r="J606" s="612">
        <f>SUM(H606+I606)</f>
        <v>0</v>
      </c>
      <c r="K606" s="619">
        <f>J606*7.5345</f>
        <v>0</v>
      </c>
      <c r="L606" s="646">
        <f t="shared" si="367"/>
        <v>0</v>
      </c>
    </row>
    <row r="607" spans="1:12" ht="14.25" x14ac:dyDescent="0.2">
      <c r="A607" s="670" t="s">
        <v>695</v>
      </c>
      <c r="B607" s="628"/>
      <c r="C607" s="629">
        <v>3233</v>
      </c>
      <c r="D607" s="618" t="s">
        <v>59</v>
      </c>
      <c r="E607" s="612">
        <v>25000</v>
      </c>
      <c r="F607" s="612">
        <v>1000</v>
      </c>
      <c r="G607" s="612">
        <f>F607/7.5345</f>
        <v>132.72280841462606</v>
      </c>
      <c r="H607" s="612">
        <v>450</v>
      </c>
      <c r="I607" s="612">
        <v>-450</v>
      </c>
      <c r="J607" s="612">
        <f t="shared" ref="J607:J609" si="368">SUM(H607+I607)</f>
        <v>0</v>
      </c>
      <c r="K607" s="619">
        <f>J607*7.5345</f>
        <v>0</v>
      </c>
      <c r="L607" s="646">
        <f t="shared" si="367"/>
        <v>0</v>
      </c>
    </row>
    <row r="608" spans="1:12" ht="14.25" x14ac:dyDescent="0.2">
      <c r="A608" s="670" t="s">
        <v>695</v>
      </c>
      <c r="B608" s="628"/>
      <c r="C608" s="629">
        <v>3237</v>
      </c>
      <c r="D608" s="618" t="s">
        <v>62</v>
      </c>
      <c r="E608" s="614"/>
      <c r="F608" s="614"/>
      <c r="G608" s="614"/>
      <c r="H608" s="612">
        <v>8075</v>
      </c>
      <c r="I608" s="612">
        <v>-629</v>
      </c>
      <c r="J608" s="363">
        <f t="shared" si="368"/>
        <v>7446</v>
      </c>
      <c r="K608" s="642"/>
      <c r="L608" s="646">
        <f t="shared" si="367"/>
        <v>92.21052631578948</v>
      </c>
    </row>
    <row r="609" spans="1:12" ht="14.25" x14ac:dyDescent="0.2">
      <c r="A609" s="670" t="s">
        <v>695</v>
      </c>
      <c r="B609" s="628"/>
      <c r="C609" s="629">
        <v>3237</v>
      </c>
      <c r="D609" s="618" t="s">
        <v>62</v>
      </c>
      <c r="E609" s="614"/>
      <c r="F609" s="614"/>
      <c r="G609" s="614"/>
      <c r="H609" s="614">
        <v>1425</v>
      </c>
      <c r="I609" s="614">
        <v>-111</v>
      </c>
      <c r="J609" s="363">
        <f t="shared" si="368"/>
        <v>1314</v>
      </c>
      <c r="K609" s="642"/>
      <c r="L609" s="646">
        <f t="shared" si="367"/>
        <v>92.21052631578948</v>
      </c>
    </row>
    <row r="610" spans="1:12" ht="14.25" x14ac:dyDescent="0.2">
      <c r="A610" s="670" t="s">
        <v>695</v>
      </c>
      <c r="B610" s="628"/>
      <c r="C610" s="629">
        <v>329</v>
      </c>
      <c r="D610" s="618" t="s">
        <v>65</v>
      </c>
      <c r="E610" s="612">
        <f t="shared" ref="E610:K610" si="369">SUM(E611:E611)</f>
        <v>10000</v>
      </c>
      <c r="F610" s="612">
        <f t="shared" si="369"/>
        <v>0</v>
      </c>
      <c r="G610" s="612">
        <f t="shared" si="369"/>
        <v>0</v>
      </c>
      <c r="H610" s="612">
        <f>SUM(H611)</f>
        <v>1500</v>
      </c>
      <c r="I610" s="612">
        <f t="shared" ref="I610:J610" si="370">SUM(I611)</f>
        <v>-1500</v>
      </c>
      <c r="J610" s="612">
        <f t="shared" si="370"/>
        <v>0</v>
      </c>
      <c r="K610" s="619">
        <f t="shared" si="369"/>
        <v>0</v>
      </c>
      <c r="L610" s="646">
        <f t="shared" si="367"/>
        <v>0</v>
      </c>
    </row>
    <row r="611" spans="1:12" ht="15" thickBot="1" x14ac:dyDescent="0.25">
      <c r="A611" s="670" t="s">
        <v>695</v>
      </c>
      <c r="B611" s="628"/>
      <c r="C611" s="629">
        <v>3293</v>
      </c>
      <c r="D611" s="618" t="s">
        <v>68</v>
      </c>
      <c r="E611" s="612">
        <v>10000</v>
      </c>
      <c r="F611" s="612">
        <v>0</v>
      </c>
      <c r="G611" s="612">
        <f>F611/7.5345</f>
        <v>0</v>
      </c>
      <c r="H611" s="612">
        <v>1500</v>
      </c>
      <c r="I611" s="612">
        <v>-1500</v>
      </c>
      <c r="J611" s="612">
        <f>SUM(H611+I611)</f>
        <v>0</v>
      </c>
      <c r="K611" s="619">
        <f>J611*7.5345</f>
        <v>0</v>
      </c>
      <c r="L611" s="646">
        <f t="shared" si="367"/>
        <v>0</v>
      </c>
    </row>
    <row r="612" spans="1:12" ht="18.75" thickBot="1" x14ac:dyDescent="0.3">
      <c r="A612" s="892" t="s">
        <v>598</v>
      </c>
      <c r="B612" s="893"/>
      <c r="C612" s="893"/>
      <c r="D612" s="894"/>
      <c r="E612" s="415" t="e">
        <f>SUM(E615+#REF!+E701+E711+E717+E723)</f>
        <v>#REF!</v>
      </c>
      <c r="F612" s="415">
        <f t="shared" ref="F612:H612" si="371">SUM(F615)</f>
        <v>78300</v>
      </c>
      <c r="G612" s="541">
        <f t="shared" si="371"/>
        <v>10392.195898865219</v>
      </c>
      <c r="H612" s="541">
        <f t="shared" si="371"/>
        <v>13000</v>
      </c>
      <c r="I612" s="541">
        <f t="shared" ref="I612:J612" si="372">SUM(I615)</f>
        <v>-13000</v>
      </c>
      <c r="J612" s="541">
        <f t="shared" si="372"/>
        <v>0</v>
      </c>
      <c r="K612" s="546">
        <f t="shared" ref="K612" si="373">SUM(K615)</f>
        <v>0</v>
      </c>
      <c r="L612" s="548">
        <f>AVERAGE(J612/H612*100)</f>
        <v>0</v>
      </c>
    </row>
    <row r="613" spans="1:12" ht="14.25" x14ac:dyDescent="0.2">
      <c r="A613" s="401"/>
      <c r="B613" s="40"/>
      <c r="C613" s="40"/>
      <c r="D613" s="395" t="s">
        <v>178</v>
      </c>
      <c r="E613" s="385"/>
      <c r="F613" s="372"/>
      <c r="G613" s="372"/>
      <c r="H613" s="372"/>
      <c r="I613" s="372"/>
      <c r="J613" s="372"/>
      <c r="K613" s="526"/>
      <c r="L613" s="862">
        <f>AVERAGE(J615/H615*100)</f>
        <v>0</v>
      </c>
    </row>
    <row r="614" spans="1:12" ht="14.25" x14ac:dyDescent="0.2">
      <c r="A614" s="401"/>
      <c r="B614" s="40"/>
      <c r="C614" s="40"/>
      <c r="D614" s="395" t="s">
        <v>625</v>
      </c>
      <c r="E614" s="379"/>
      <c r="F614" s="372"/>
      <c r="G614" s="372"/>
      <c r="H614" s="372"/>
      <c r="I614" s="372"/>
      <c r="J614" s="372"/>
      <c r="K614" s="526"/>
      <c r="L614" s="844"/>
    </row>
    <row r="615" spans="1:12" ht="15.75" x14ac:dyDescent="0.25">
      <c r="A615" s="420"/>
      <c r="B615" s="421"/>
      <c r="C615" s="421"/>
      <c r="D615" s="422" t="s">
        <v>487</v>
      </c>
      <c r="E615" s="423">
        <f t="shared" ref="E615:K615" si="374">SUM(E616+E625)</f>
        <v>524300</v>
      </c>
      <c r="F615" s="424">
        <f t="shared" si="374"/>
        <v>78300</v>
      </c>
      <c r="G615" s="424">
        <f t="shared" si="374"/>
        <v>10392.195898865219</v>
      </c>
      <c r="H615" s="424">
        <f t="shared" si="374"/>
        <v>13000</v>
      </c>
      <c r="I615" s="424">
        <f t="shared" si="374"/>
        <v>-13000</v>
      </c>
      <c r="J615" s="424">
        <f t="shared" si="374"/>
        <v>0</v>
      </c>
      <c r="K615" s="527">
        <f t="shared" si="374"/>
        <v>0</v>
      </c>
      <c r="L615" s="845"/>
    </row>
    <row r="616" spans="1:12" ht="15" x14ac:dyDescent="0.25">
      <c r="A616" s="358" t="s">
        <v>696</v>
      </c>
      <c r="B616" s="445"/>
      <c r="C616" s="391">
        <v>31</v>
      </c>
      <c r="D616" s="369" t="s">
        <v>41</v>
      </c>
      <c r="E616" s="381">
        <f>SUM(E617+E620+E622)</f>
        <v>482800</v>
      </c>
      <c r="F616" s="381">
        <f>SUM(F617+F622)</f>
        <v>73300</v>
      </c>
      <c r="G616" s="381">
        <f>SUM(G617+G622)</f>
        <v>9728.5818567920887</v>
      </c>
      <c r="H616" s="381">
        <f>SUM(H617+H622)</f>
        <v>12000</v>
      </c>
      <c r="I616" s="381">
        <f t="shared" ref="I616:J616" si="375">SUM(I617+I622)</f>
        <v>-12000</v>
      </c>
      <c r="J616" s="381">
        <f t="shared" si="375"/>
        <v>0</v>
      </c>
      <c r="K616" s="528">
        <f>SUM(K617+K622)</f>
        <v>0</v>
      </c>
      <c r="L616" s="727">
        <f>AVERAGE(J616/H616*100)</f>
        <v>0</v>
      </c>
    </row>
    <row r="617" spans="1:12" ht="14.25" x14ac:dyDescent="0.2">
      <c r="A617" s="355" t="s">
        <v>696</v>
      </c>
      <c r="B617" s="446"/>
      <c r="C617" s="367">
        <v>311</v>
      </c>
      <c r="D617" s="368" t="s">
        <v>183</v>
      </c>
      <c r="E617" s="363">
        <v>400000</v>
      </c>
      <c r="F617" s="363">
        <f t="shared" ref="F617:K617" si="376">F618</f>
        <v>63300</v>
      </c>
      <c r="G617" s="363">
        <f t="shared" si="376"/>
        <v>8401.3537726458289</v>
      </c>
      <c r="H617" s="363">
        <f>SUM(H618+H619)</f>
        <v>10000</v>
      </c>
      <c r="I617" s="363">
        <f t="shared" ref="I617:J617" si="377">SUM(I618+I619)</f>
        <v>-10000</v>
      </c>
      <c r="J617" s="363">
        <f t="shared" si="377"/>
        <v>0</v>
      </c>
      <c r="K617" s="529">
        <f t="shared" si="376"/>
        <v>0</v>
      </c>
      <c r="L617" s="384">
        <f t="shared" ref="L617:L630" si="378">AVERAGE(J617/H617*100)</f>
        <v>0</v>
      </c>
    </row>
    <row r="618" spans="1:12" ht="14.25" x14ac:dyDescent="0.2">
      <c r="A618" s="355" t="s">
        <v>696</v>
      </c>
      <c r="B618" s="446"/>
      <c r="C618" s="367">
        <v>3111</v>
      </c>
      <c r="D618" s="368" t="s">
        <v>184</v>
      </c>
      <c r="E618" s="363">
        <v>400000</v>
      </c>
      <c r="F618" s="363">
        <v>63300</v>
      </c>
      <c r="G618" s="363">
        <f>F618/7.5345</f>
        <v>8401.3537726458289</v>
      </c>
      <c r="H618" s="363">
        <v>8000</v>
      </c>
      <c r="I618" s="363">
        <v>-8000</v>
      </c>
      <c r="J618" s="363">
        <f>SUM(H618+I618)</f>
        <v>0</v>
      </c>
      <c r="K618" s="529">
        <f>J618*7.5345</f>
        <v>0</v>
      </c>
      <c r="L618" s="384">
        <f t="shared" si="378"/>
        <v>0</v>
      </c>
    </row>
    <row r="619" spans="1:12" ht="14.25" x14ac:dyDescent="0.2">
      <c r="A619" s="355" t="s">
        <v>696</v>
      </c>
      <c r="B619" s="446"/>
      <c r="C619" s="367">
        <v>3111</v>
      </c>
      <c r="D619" s="368" t="s">
        <v>184</v>
      </c>
      <c r="E619" s="363">
        <v>400000</v>
      </c>
      <c r="F619" s="363">
        <v>63300</v>
      </c>
      <c r="G619" s="363">
        <f>F619/7.5345</f>
        <v>8401.3537726458289</v>
      </c>
      <c r="H619" s="363">
        <v>2000</v>
      </c>
      <c r="I619" s="363">
        <v>-2000</v>
      </c>
      <c r="J619" s="363">
        <f>SUM(H619+I619)</f>
        <v>0</v>
      </c>
      <c r="K619" s="529">
        <f>J619*7.5345</f>
        <v>0</v>
      </c>
      <c r="L619" s="384">
        <f t="shared" si="378"/>
        <v>0</v>
      </c>
    </row>
    <row r="620" spans="1:12" ht="14.25" x14ac:dyDescent="0.2">
      <c r="A620" s="355" t="s">
        <v>696</v>
      </c>
      <c r="B620" s="446"/>
      <c r="C620" s="367">
        <v>312</v>
      </c>
      <c r="D620" s="368" t="s">
        <v>43</v>
      </c>
      <c r="E620" s="363">
        <v>14000</v>
      </c>
      <c r="F620" s="363">
        <f t="shared" ref="F620:K620" si="379">F621</f>
        <v>0</v>
      </c>
      <c r="G620" s="363">
        <f t="shared" si="379"/>
        <v>0</v>
      </c>
      <c r="H620" s="363">
        <f t="shared" si="379"/>
        <v>0</v>
      </c>
      <c r="I620" s="363">
        <f t="shared" si="379"/>
        <v>0</v>
      </c>
      <c r="J620" s="363">
        <f t="shared" si="379"/>
        <v>0</v>
      </c>
      <c r="K620" s="529">
        <f t="shared" si="379"/>
        <v>0</v>
      </c>
      <c r="L620" s="384" t="e">
        <f t="shared" si="378"/>
        <v>#DIV/0!</v>
      </c>
    </row>
    <row r="621" spans="1:12" ht="14.25" x14ac:dyDescent="0.2">
      <c r="A621" s="355" t="s">
        <v>696</v>
      </c>
      <c r="B621" s="446"/>
      <c r="C621" s="367">
        <v>3121</v>
      </c>
      <c r="D621" s="368" t="s">
        <v>43</v>
      </c>
      <c r="E621" s="363">
        <v>14000</v>
      </c>
      <c r="F621" s="363">
        <v>0</v>
      </c>
      <c r="G621" s="363">
        <v>0</v>
      </c>
      <c r="H621" s="363">
        <v>0</v>
      </c>
      <c r="I621" s="363">
        <v>0</v>
      </c>
      <c r="J621" s="363">
        <f>SUM(H621+I621)</f>
        <v>0</v>
      </c>
      <c r="K621" s="529">
        <v>0</v>
      </c>
      <c r="L621" s="384" t="e">
        <f t="shared" si="378"/>
        <v>#DIV/0!</v>
      </c>
    </row>
    <row r="622" spans="1:12" ht="14.25" x14ac:dyDescent="0.2">
      <c r="A622" s="355" t="s">
        <v>696</v>
      </c>
      <c r="B622" s="446"/>
      <c r="C622" s="367">
        <v>313</v>
      </c>
      <c r="D622" s="368" t="s">
        <v>44</v>
      </c>
      <c r="E622" s="363">
        <v>68800</v>
      </c>
      <c r="F622" s="363">
        <f t="shared" ref="F622:K622" si="380">F623</f>
        <v>10000</v>
      </c>
      <c r="G622" s="363">
        <f t="shared" si="380"/>
        <v>1327.2280841462605</v>
      </c>
      <c r="H622" s="363">
        <f>SUM(H623+H624)</f>
        <v>2000</v>
      </c>
      <c r="I622" s="363">
        <f t="shared" ref="I622:J622" si="381">SUM(I623+I624)</f>
        <v>-2000</v>
      </c>
      <c r="J622" s="363">
        <f t="shared" si="381"/>
        <v>0</v>
      </c>
      <c r="K622" s="529">
        <f t="shared" si="380"/>
        <v>0</v>
      </c>
      <c r="L622" s="384">
        <f t="shared" si="378"/>
        <v>0</v>
      </c>
    </row>
    <row r="623" spans="1:12" ht="14.25" x14ac:dyDescent="0.2">
      <c r="A623" s="355" t="s">
        <v>696</v>
      </c>
      <c r="B623" s="446"/>
      <c r="C623" s="367">
        <v>3132</v>
      </c>
      <c r="D623" s="368" t="s">
        <v>185</v>
      </c>
      <c r="E623" s="363">
        <v>62000</v>
      </c>
      <c r="F623" s="363">
        <v>10000</v>
      </c>
      <c r="G623" s="363">
        <f>F623/7.5345</f>
        <v>1327.2280841462605</v>
      </c>
      <c r="H623" s="363">
        <v>1600</v>
      </c>
      <c r="I623" s="363">
        <v>-1600</v>
      </c>
      <c r="J623" s="363">
        <f>SUM(H623+I623)</f>
        <v>0</v>
      </c>
      <c r="K623" s="529">
        <f>J623*7.5345</f>
        <v>0</v>
      </c>
      <c r="L623" s="384">
        <f t="shared" si="378"/>
        <v>0</v>
      </c>
    </row>
    <row r="624" spans="1:12" ht="14.25" x14ac:dyDescent="0.2">
      <c r="A624" s="355" t="s">
        <v>696</v>
      </c>
      <c r="B624" s="446"/>
      <c r="C624" s="367">
        <v>3132</v>
      </c>
      <c r="D624" s="368" t="s">
        <v>185</v>
      </c>
      <c r="E624" s="363">
        <v>62000</v>
      </c>
      <c r="F624" s="363">
        <v>10000</v>
      </c>
      <c r="G624" s="363">
        <f>F624/7.5345</f>
        <v>1327.2280841462605</v>
      </c>
      <c r="H624" s="363">
        <v>400</v>
      </c>
      <c r="I624" s="363">
        <v>-400</v>
      </c>
      <c r="J624" s="363">
        <f>SUM(H624+I624)</f>
        <v>0</v>
      </c>
      <c r="K624" s="529">
        <f>J624*7.5345</f>
        <v>0</v>
      </c>
      <c r="L624" s="384">
        <f t="shared" si="378"/>
        <v>0</v>
      </c>
    </row>
    <row r="625" spans="1:12" ht="18" customHeight="1" x14ac:dyDescent="0.25">
      <c r="A625" s="358" t="s">
        <v>696</v>
      </c>
      <c r="B625" s="447"/>
      <c r="C625" s="354">
        <v>32</v>
      </c>
      <c r="D625" s="365" t="s">
        <v>47</v>
      </c>
      <c r="E625" s="362">
        <v>41500</v>
      </c>
      <c r="F625" s="362">
        <f t="shared" ref="F625:K625" si="382">F626</f>
        <v>5000</v>
      </c>
      <c r="G625" s="362">
        <f t="shared" si="382"/>
        <v>663.61404207313024</v>
      </c>
      <c r="H625" s="362">
        <f t="shared" si="382"/>
        <v>1000</v>
      </c>
      <c r="I625" s="362">
        <f t="shared" si="382"/>
        <v>-1000</v>
      </c>
      <c r="J625" s="362">
        <f t="shared" si="382"/>
        <v>0</v>
      </c>
      <c r="K625" s="530">
        <f t="shared" si="382"/>
        <v>0</v>
      </c>
      <c r="L625" s="727">
        <f t="shared" si="378"/>
        <v>0</v>
      </c>
    </row>
    <row r="626" spans="1:12" ht="14.25" x14ac:dyDescent="0.2">
      <c r="A626" s="355" t="s">
        <v>696</v>
      </c>
      <c r="B626" s="446"/>
      <c r="C626" s="367">
        <v>321</v>
      </c>
      <c r="D626" s="368" t="s">
        <v>48</v>
      </c>
      <c r="E626" s="363" t="e">
        <f>SUM(E627:E644)</f>
        <v>#REF!</v>
      </c>
      <c r="F626" s="363">
        <f t="shared" ref="F626:K626" si="383">SUM(F627)</f>
        <v>5000</v>
      </c>
      <c r="G626" s="363">
        <f t="shared" si="383"/>
        <v>663.61404207313024</v>
      </c>
      <c r="H626" s="363">
        <f>SUM(H627+H628)</f>
        <v>1000</v>
      </c>
      <c r="I626" s="363">
        <f t="shared" ref="I626:J626" si="384">SUM(I627+I628)</f>
        <v>-1000</v>
      </c>
      <c r="J626" s="363">
        <f t="shared" si="384"/>
        <v>0</v>
      </c>
      <c r="K626" s="529">
        <f t="shared" si="383"/>
        <v>0</v>
      </c>
      <c r="L626" s="384">
        <f t="shared" si="378"/>
        <v>0</v>
      </c>
    </row>
    <row r="627" spans="1:12" ht="14.25" x14ac:dyDescent="0.2">
      <c r="A627" s="355" t="s">
        <v>696</v>
      </c>
      <c r="B627" s="446"/>
      <c r="C627" s="367">
        <v>3212</v>
      </c>
      <c r="D627" s="368" t="s">
        <v>489</v>
      </c>
      <c r="E627" s="363">
        <v>18000</v>
      </c>
      <c r="F627" s="363">
        <v>5000</v>
      </c>
      <c r="G627" s="363">
        <f>F627/7.5345</f>
        <v>663.61404207313024</v>
      </c>
      <c r="H627" s="363">
        <v>800</v>
      </c>
      <c r="I627" s="363">
        <v>-800</v>
      </c>
      <c r="J627" s="363">
        <f>SUM(H627+I627)</f>
        <v>0</v>
      </c>
      <c r="K627" s="529">
        <f>J627*7.5345</f>
        <v>0</v>
      </c>
      <c r="L627" s="384">
        <f t="shared" si="378"/>
        <v>0</v>
      </c>
    </row>
    <row r="628" spans="1:12" ht="14.25" x14ac:dyDescent="0.2">
      <c r="A628" s="355" t="s">
        <v>696</v>
      </c>
      <c r="B628" s="446"/>
      <c r="C628" s="367">
        <v>3212</v>
      </c>
      <c r="D628" s="368" t="s">
        <v>489</v>
      </c>
      <c r="E628" s="363">
        <v>18000</v>
      </c>
      <c r="F628" s="363">
        <v>5000</v>
      </c>
      <c r="G628" s="363">
        <f>F628/7.5345</f>
        <v>663.61404207313024</v>
      </c>
      <c r="H628" s="363">
        <v>200</v>
      </c>
      <c r="I628" s="363">
        <v>-200</v>
      </c>
      <c r="J628" s="363">
        <f>SUM(H628+I628)</f>
        <v>0</v>
      </c>
      <c r="K628" s="529">
        <f>J628*7.5345</f>
        <v>0</v>
      </c>
      <c r="L628" s="384">
        <f t="shared" si="378"/>
        <v>0</v>
      </c>
    </row>
    <row r="629" spans="1:12" ht="14.25" x14ac:dyDescent="0.2">
      <c r="A629" s="355" t="s">
        <v>696</v>
      </c>
      <c r="B629" s="446"/>
      <c r="C629" s="367">
        <v>322</v>
      </c>
      <c r="D629" s="368" t="s">
        <v>52</v>
      </c>
      <c r="E629" s="363" t="e">
        <f>SUM(E630:E644)</f>
        <v>#REF!</v>
      </c>
      <c r="F629" s="363">
        <f t="shared" ref="F629:K629" si="385">SUM(F630)</f>
        <v>0</v>
      </c>
      <c r="G629" s="363">
        <f t="shared" si="385"/>
        <v>0</v>
      </c>
      <c r="H629" s="363">
        <f t="shared" si="385"/>
        <v>0</v>
      </c>
      <c r="I629" s="363">
        <f t="shared" si="385"/>
        <v>0</v>
      </c>
      <c r="J629" s="363">
        <f t="shared" si="385"/>
        <v>0</v>
      </c>
      <c r="K629" s="529">
        <f t="shared" si="385"/>
        <v>0</v>
      </c>
      <c r="L629" s="384" t="e">
        <f t="shared" si="378"/>
        <v>#DIV/0!</v>
      </c>
    </row>
    <row r="630" spans="1:12" ht="15" thickBot="1" x14ac:dyDescent="0.25">
      <c r="A630" s="355" t="s">
        <v>696</v>
      </c>
      <c r="B630" s="453"/>
      <c r="C630" s="399">
        <v>3221</v>
      </c>
      <c r="D630" s="370" t="s">
        <v>53</v>
      </c>
      <c r="E630" s="361">
        <v>16000</v>
      </c>
      <c r="F630" s="361">
        <v>0</v>
      </c>
      <c r="G630" s="361">
        <v>0</v>
      </c>
      <c r="H630" s="361">
        <v>0</v>
      </c>
      <c r="I630" s="361">
        <v>0</v>
      </c>
      <c r="J630" s="361">
        <f>SUM(H630+I630)</f>
        <v>0</v>
      </c>
      <c r="K630" s="532">
        <v>0</v>
      </c>
      <c r="L630" s="384" t="e">
        <f t="shared" si="378"/>
        <v>#DIV/0!</v>
      </c>
    </row>
    <row r="631" spans="1:12" ht="18.75" thickBot="1" x14ac:dyDescent="0.3">
      <c r="A631" s="846" t="s">
        <v>640</v>
      </c>
      <c r="B631" s="847"/>
      <c r="C631" s="847"/>
      <c r="D631" s="848"/>
      <c r="E631" s="415" t="e">
        <f>SUM(E634+#REF!+E720+E730+E736+E742)</f>
        <v>#REF!</v>
      </c>
      <c r="F631" s="415">
        <f t="shared" ref="F631:H631" si="386">SUM(F634)</f>
        <v>100000</v>
      </c>
      <c r="G631" s="541">
        <f t="shared" si="386"/>
        <v>13272.280841462603</v>
      </c>
      <c r="H631" s="541">
        <f t="shared" si="386"/>
        <v>0</v>
      </c>
      <c r="I631" s="541">
        <f t="shared" ref="I631:K631" si="387">SUM(I634)</f>
        <v>7600</v>
      </c>
      <c r="J631" s="541">
        <f t="shared" si="387"/>
        <v>7600</v>
      </c>
      <c r="K631" s="546">
        <f t="shared" si="387"/>
        <v>57262.2</v>
      </c>
      <c r="L631" s="548" t="e">
        <f>AVERAGE(J631/H631*100)</f>
        <v>#DIV/0!</v>
      </c>
    </row>
    <row r="632" spans="1:12" ht="15" thickTop="1" x14ac:dyDescent="0.2">
      <c r="A632" s="401"/>
      <c r="B632" s="451"/>
      <c r="C632" s="40"/>
      <c r="D632" s="396" t="s">
        <v>227</v>
      </c>
      <c r="E632" s="373"/>
      <c r="F632" s="372"/>
      <c r="G632" s="372"/>
      <c r="H632" s="372"/>
      <c r="I632" s="372"/>
      <c r="J632" s="372"/>
      <c r="K632" s="526"/>
      <c r="L632" s="843" t="e">
        <f>AVERAGE(J634/H634*100)</f>
        <v>#DIV/0!</v>
      </c>
    </row>
    <row r="633" spans="1:12" ht="14.25" x14ac:dyDescent="0.2">
      <c r="A633" s="401"/>
      <c r="B633" s="451"/>
      <c r="C633" s="40"/>
      <c r="D633" s="395" t="s">
        <v>610</v>
      </c>
      <c r="E633" s="363"/>
      <c r="F633" s="372"/>
      <c r="G633" s="372"/>
      <c r="H633" s="372"/>
      <c r="I633" s="372"/>
      <c r="J633" s="372"/>
      <c r="K633" s="526"/>
      <c r="L633" s="844"/>
    </row>
    <row r="634" spans="1:12" ht="15.75" x14ac:dyDescent="0.25">
      <c r="A634" s="652"/>
      <c r="B634" s="664"/>
      <c r="C634" s="654"/>
      <c r="D634" s="613" t="s">
        <v>430</v>
      </c>
      <c r="E634" s="426">
        <v>25000</v>
      </c>
      <c r="F634" s="424">
        <f t="shared" ref="F634:K634" si="388">SUM(F635)</f>
        <v>100000</v>
      </c>
      <c r="G634" s="424">
        <f t="shared" si="388"/>
        <v>13272.280841462603</v>
      </c>
      <c r="H634" s="424">
        <f t="shared" si="388"/>
        <v>0</v>
      </c>
      <c r="I634" s="424">
        <f t="shared" si="388"/>
        <v>7600</v>
      </c>
      <c r="J634" s="424">
        <f t="shared" si="388"/>
        <v>7600</v>
      </c>
      <c r="K634" s="527">
        <f t="shared" si="388"/>
        <v>57262.2</v>
      </c>
      <c r="L634" s="845"/>
    </row>
    <row r="635" spans="1:12" ht="15" x14ac:dyDescent="0.25">
      <c r="A635" s="358" t="s">
        <v>488</v>
      </c>
      <c r="B635" s="447"/>
      <c r="C635" s="354">
        <v>32</v>
      </c>
      <c r="D635" s="365" t="s">
        <v>180</v>
      </c>
      <c r="E635" s="362">
        <v>25000</v>
      </c>
      <c r="F635" s="362">
        <f t="shared" ref="F635:J635" si="389">SUM(F636+F639)</f>
        <v>100000</v>
      </c>
      <c r="G635" s="362">
        <f t="shared" si="389"/>
        <v>13272.280841462603</v>
      </c>
      <c r="H635" s="362">
        <f t="shared" si="389"/>
        <v>0</v>
      </c>
      <c r="I635" s="362">
        <f t="shared" si="389"/>
        <v>7600</v>
      </c>
      <c r="J635" s="362">
        <f t="shared" si="389"/>
        <v>7600</v>
      </c>
      <c r="K635" s="530">
        <f t="shared" ref="K635" si="390">SUM(K636+K639)</f>
        <v>57262.2</v>
      </c>
      <c r="L635" s="727" t="e">
        <f>AVERAGE(J635/H635*100)</f>
        <v>#DIV/0!</v>
      </c>
    </row>
    <row r="636" spans="1:12" ht="14.25" x14ac:dyDescent="0.2">
      <c r="A636" s="355" t="s">
        <v>488</v>
      </c>
      <c r="B636" s="446"/>
      <c r="C636" s="367">
        <v>323</v>
      </c>
      <c r="D636" s="368" t="s">
        <v>56</v>
      </c>
      <c r="E636" s="363">
        <v>8000</v>
      </c>
      <c r="F636" s="363">
        <f t="shared" ref="F636:J636" si="391">SUM(F637:F638)</f>
        <v>90000</v>
      </c>
      <c r="G636" s="363">
        <f t="shared" si="391"/>
        <v>11945.052757316344</v>
      </c>
      <c r="H636" s="363">
        <f t="shared" si="391"/>
        <v>0</v>
      </c>
      <c r="I636" s="363">
        <f t="shared" si="391"/>
        <v>5600</v>
      </c>
      <c r="J636" s="363">
        <f t="shared" si="391"/>
        <v>5600</v>
      </c>
      <c r="K636" s="529">
        <f t="shared" ref="K636" si="392">SUM(K637:K638)</f>
        <v>42193.2</v>
      </c>
      <c r="L636" s="384" t="e">
        <f t="shared" ref="L636:L640" si="393">AVERAGE(J636/H636*100)</f>
        <v>#DIV/0!</v>
      </c>
    </row>
    <row r="637" spans="1:12" ht="14.25" x14ac:dyDescent="0.2">
      <c r="A637" s="355" t="s">
        <v>488</v>
      </c>
      <c r="B637" s="446"/>
      <c r="C637" s="367">
        <v>3233</v>
      </c>
      <c r="D637" s="368" t="s">
        <v>59</v>
      </c>
      <c r="E637" s="363">
        <v>5000</v>
      </c>
      <c r="F637" s="363">
        <v>10000</v>
      </c>
      <c r="G637" s="363">
        <f>F637/7.5345</f>
        <v>1327.2280841462605</v>
      </c>
      <c r="H637" s="363">
        <v>0</v>
      </c>
      <c r="I637" s="363">
        <v>1600</v>
      </c>
      <c r="J637" s="363">
        <f>SUM(H637+I637)</f>
        <v>1600</v>
      </c>
      <c r="K637" s="529">
        <f>J637*7.5345</f>
        <v>12055.2</v>
      </c>
      <c r="L637" s="384" t="e">
        <f t="shared" si="393"/>
        <v>#DIV/0!</v>
      </c>
    </row>
    <row r="638" spans="1:12" ht="14.25" x14ac:dyDescent="0.2">
      <c r="A638" s="355" t="s">
        <v>488</v>
      </c>
      <c r="B638" s="446"/>
      <c r="C638" s="367">
        <v>3239</v>
      </c>
      <c r="D638" s="368" t="s">
        <v>64</v>
      </c>
      <c r="E638" s="363">
        <v>3000</v>
      </c>
      <c r="F638" s="363">
        <v>80000</v>
      </c>
      <c r="G638" s="363">
        <f>F638/7.5345</f>
        <v>10617.824673170084</v>
      </c>
      <c r="H638" s="363">
        <v>0</v>
      </c>
      <c r="I638" s="363">
        <v>4000</v>
      </c>
      <c r="J638" s="363">
        <f>SUM(H638+I638)</f>
        <v>4000</v>
      </c>
      <c r="K638" s="529">
        <f>J638*7.5345</f>
        <v>30138</v>
      </c>
      <c r="L638" s="384" t="e">
        <f t="shared" si="393"/>
        <v>#DIV/0!</v>
      </c>
    </row>
    <row r="639" spans="1:12" ht="14.25" x14ac:dyDescent="0.2">
      <c r="A639" s="355" t="s">
        <v>488</v>
      </c>
      <c r="B639" s="446"/>
      <c r="C639" s="367">
        <v>329</v>
      </c>
      <c r="D639" s="368" t="s">
        <v>65</v>
      </c>
      <c r="E639" s="363">
        <v>17000</v>
      </c>
      <c r="F639" s="363">
        <f>SUM(F640:F640)</f>
        <v>10000</v>
      </c>
      <c r="G639" s="363">
        <f>SUM(G640:G640)</f>
        <v>1327.2280841462605</v>
      </c>
      <c r="H639" s="363">
        <f>SUM(H640)</f>
        <v>0</v>
      </c>
      <c r="I639" s="363">
        <f t="shared" ref="I639:J639" si="394">SUM(I640)</f>
        <v>2000</v>
      </c>
      <c r="J639" s="363">
        <f t="shared" si="394"/>
        <v>2000</v>
      </c>
      <c r="K639" s="529">
        <f>SUM(K640:K640)</f>
        <v>15069</v>
      </c>
      <c r="L639" s="384" t="e">
        <f t="shared" si="393"/>
        <v>#DIV/0!</v>
      </c>
    </row>
    <row r="640" spans="1:12" ht="15" thickBot="1" x14ac:dyDescent="0.25">
      <c r="A640" s="355" t="s">
        <v>488</v>
      </c>
      <c r="B640" s="446"/>
      <c r="C640" s="367">
        <v>3293</v>
      </c>
      <c r="D640" s="368" t="s">
        <v>68</v>
      </c>
      <c r="E640" s="363">
        <v>15000</v>
      </c>
      <c r="F640" s="363">
        <v>10000</v>
      </c>
      <c r="G640" s="363">
        <f>F640/7.5345</f>
        <v>1327.2280841462605</v>
      </c>
      <c r="H640" s="363">
        <v>0</v>
      </c>
      <c r="I640" s="363">
        <v>2000</v>
      </c>
      <c r="J640" s="363">
        <f>SUM(H640+I640)</f>
        <v>2000</v>
      </c>
      <c r="K640" s="529">
        <f>J640*7.5345</f>
        <v>15069</v>
      </c>
      <c r="L640" s="384" t="e">
        <f t="shared" si="393"/>
        <v>#DIV/0!</v>
      </c>
    </row>
    <row r="641" spans="1:12" ht="18.75" thickBot="1" x14ac:dyDescent="0.25">
      <c r="A641" s="882" t="s">
        <v>110</v>
      </c>
      <c r="B641" s="883"/>
      <c r="C641" s="883"/>
      <c r="D641" s="884"/>
      <c r="E641" s="400" t="e">
        <f>SUM(E8+#REF!+#REF!+#REF!+#REF!+#REF!+#REF!+#REF!+#REF!+#REF!)</f>
        <v>#REF!</v>
      </c>
      <c r="F641" s="400" t="e">
        <f>SUM(F9+F85+F94+F108+F121+F128+F136+F150+F185+F193+F206+#REF!+F239+F246+F263+F272+F285+F298+F386+F440+#REF!+#REF!+F580+F612)</f>
        <v>#REF!</v>
      </c>
      <c r="G641" s="400" t="e">
        <f>SUM(G9+G85+G94+G108+G121+G128+G136+G150+G185+G193+G206+#REF!+G239+G246+G263+G272+G285+G298+G386+G440+#REF!+#REF!+G580+G612)</f>
        <v>#REF!</v>
      </c>
      <c r="H641" s="400">
        <f>SUM(H9+H85+H97+H108+H121+H128+H136+H143+H150+H185+H193+H206+H239+H246+H263+H272+H285+H298+H386+H440+H565+H580+H612)</f>
        <v>3685160</v>
      </c>
      <c r="I641" s="400">
        <f>SUM(I9+I85+I97+I108+I121+I128+I136+I143+I150+I185+I193+I206+I239+I246+I263+I272+I285+I298+I386+I440+I565+I580+I612+I631)</f>
        <v>-21565</v>
      </c>
      <c r="J641" s="400">
        <f>SUM(J9+J85+J97+J108+J121+J128+J136+J143+J150+J185+J193+J206+J239+J246+J263+J272+J285+J298+J386+J440+J565+J580+J612+J631)</f>
        <v>3663595</v>
      </c>
      <c r="K641" s="533" t="e">
        <f>SUM(K9+K85+K94+K108+K121+K128+K136+K150+K185+K193+K206+#REF!+K239+K246+K263+K272+K285+K298+K386+K440+#REF!+#REF!+K580+K612)</f>
        <v>#REF!</v>
      </c>
      <c r="L641" s="730">
        <f>AVERAGE(J641/H641*100)</f>
        <v>99.414815096223776</v>
      </c>
    </row>
    <row r="643" spans="1:12" x14ac:dyDescent="0.2">
      <c r="B643" s="564"/>
    </row>
  </sheetData>
  <mergeCells count="90">
    <mergeCell ref="L347:L349"/>
    <mergeCell ref="L341:L343"/>
    <mergeCell ref="L455:L457"/>
    <mergeCell ref="L447:L449"/>
    <mergeCell ref="L441:L443"/>
    <mergeCell ref="L434:L436"/>
    <mergeCell ref="L544:L546"/>
    <mergeCell ref="A498:C500"/>
    <mergeCell ref="L511:L513"/>
    <mergeCell ref="L484:L486"/>
    <mergeCell ref="L536:L538"/>
    <mergeCell ref="A504:C506"/>
    <mergeCell ref="A641:D641"/>
    <mergeCell ref="A580:D580"/>
    <mergeCell ref="L581:L583"/>
    <mergeCell ref="A565:D565"/>
    <mergeCell ref="L353:L355"/>
    <mergeCell ref="L393:L395"/>
    <mergeCell ref="L601:L603"/>
    <mergeCell ref="L491:L493"/>
    <mergeCell ref="A612:D612"/>
    <mergeCell ref="L613:L615"/>
    <mergeCell ref="L473:L475"/>
    <mergeCell ref="L461:L463"/>
    <mergeCell ref="L418:L420"/>
    <mergeCell ref="L387:L389"/>
    <mergeCell ref="L467:L469"/>
    <mergeCell ref="L411:L413"/>
    <mergeCell ref="L57:L59"/>
    <mergeCell ref="L67:L69"/>
    <mergeCell ref="L73:L75"/>
    <mergeCell ref="L129:L131"/>
    <mergeCell ref="L79:L81"/>
    <mergeCell ref="L86:L88"/>
    <mergeCell ref="A85:D85"/>
    <mergeCell ref="L115:L117"/>
    <mergeCell ref="L225:L227"/>
    <mergeCell ref="L247:L249"/>
    <mergeCell ref="A239:D239"/>
    <mergeCell ref="A128:D128"/>
    <mergeCell ref="A121:D121"/>
    <mergeCell ref="A108:D108"/>
    <mergeCell ref="A136:D136"/>
    <mergeCell ref="A94:D94"/>
    <mergeCell ref="L144:L146"/>
    <mergeCell ref="D233:D234"/>
    <mergeCell ref="L173:L175"/>
    <mergeCell ref="L179:L181"/>
    <mergeCell ref="L137:L139"/>
    <mergeCell ref="L194:L196"/>
    <mergeCell ref="A1:L1"/>
    <mergeCell ref="A2:L2"/>
    <mergeCell ref="L10:L12"/>
    <mergeCell ref="L26:L28"/>
    <mergeCell ref="A9:D9"/>
    <mergeCell ref="A3:F3"/>
    <mergeCell ref="A8:D8"/>
    <mergeCell ref="A7:D7"/>
    <mergeCell ref="L329:L331"/>
    <mergeCell ref="A440:D440"/>
    <mergeCell ref="A143:D143"/>
    <mergeCell ref="A285:D285"/>
    <mergeCell ref="A272:D272"/>
    <mergeCell ref="L160:L162"/>
    <mergeCell ref="L264:L266"/>
    <mergeCell ref="L186:L188"/>
    <mergeCell ref="L273:L275"/>
    <mergeCell ref="A150:D150"/>
    <mergeCell ref="A185:D185"/>
    <mergeCell ref="A193:D193"/>
    <mergeCell ref="A206:D206"/>
    <mergeCell ref="D153:D154"/>
    <mergeCell ref="L399:L401"/>
    <mergeCell ref="L335:L337"/>
    <mergeCell ref="L632:L634"/>
    <mergeCell ref="A631:D631"/>
    <mergeCell ref="L559:L561"/>
    <mergeCell ref="L200:L202"/>
    <mergeCell ref="L253:L255"/>
    <mergeCell ref="A263:D263"/>
    <mergeCell ref="A246:D246"/>
    <mergeCell ref="L317:L319"/>
    <mergeCell ref="L279:L281"/>
    <mergeCell ref="A298:D298"/>
    <mergeCell ref="A386:D386"/>
    <mergeCell ref="L286:L288"/>
    <mergeCell ref="L292:L294"/>
    <mergeCell ref="L299:L301"/>
    <mergeCell ref="L307:L309"/>
    <mergeCell ref="L323:L325"/>
  </mergeCells>
  <phoneticPr fontId="7" type="noConversion"/>
  <printOptions horizontalCentered="1"/>
  <pageMargins left="0.23622047244094491" right="0.23622047244094491" top="0.35433070866141736" bottom="0.47244094488188981" header="0.31496062992125984" footer="0.31496062992125984"/>
  <pageSetup paperSize="9" scale="59" fitToHeight="0" orientation="portrait" horizontalDpi="300" verticalDpi="300" r:id="rId1"/>
  <rowBreaks count="7" manualBreakCount="7">
    <brk id="84" max="11" man="1"/>
    <brk id="149" max="11" man="1"/>
    <brk id="224" max="11" man="1"/>
    <brk id="297" max="11" man="1"/>
    <brk id="364" max="11" man="1"/>
    <brk id="425" max="11" man="1"/>
    <brk id="49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10</vt:i4>
      </vt:variant>
    </vt:vector>
  </HeadingPairs>
  <TitlesOfParts>
    <vt:vector size="13" baseType="lpstr">
      <vt:lpstr>POSEBNI DIO</vt:lpstr>
      <vt:lpstr>Opći dio</vt:lpstr>
      <vt:lpstr>Posebni</vt:lpstr>
      <vt:lpstr>BROJ_KONTA</vt:lpstr>
      <vt:lpstr>'Opći dio'!Ispis_naslova</vt:lpstr>
      <vt:lpstr>Posebni!Ispis_naslova</vt:lpstr>
      <vt:lpstr>Ostv_2004.</vt:lpstr>
      <vt:lpstr>Plan_2005</vt:lpstr>
      <vt:lpstr>'Opći dio'!Podrucje_ispisa</vt:lpstr>
      <vt:lpstr>Posebni!Podrucje_ispisa</vt:lpstr>
      <vt:lpstr>'POSEBNI DIO'!Podrucje_ispisa</vt:lpstr>
      <vt:lpstr>Procj_2005</vt:lpstr>
      <vt:lpstr>VRSTA_PRIHODA_IZDATAKA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Županija Brodsko-Posavska</dc:creator>
  <cp:lastModifiedBy>OPĆ GORNJA VRBA</cp:lastModifiedBy>
  <cp:lastPrinted>2025-12-16T08:31:45Z</cp:lastPrinted>
  <dcterms:created xsi:type="dcterms:W3CDTF">2005-09-08T07:24:42Z</dcterms:created>
  <dcterms:modified xsi:type="dcterms:W3CDTF">2025-12-16T11:11:30Z</dcterms:modified>
</cp:coreProperties>
</file>